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5805" firstSheet="2" activeTab="6"/>
  </bookViews>
  <sheets>
    <sheet name="2005-2009" sheetId="1" state="hidden" r:id="rId1"/>
    <sheet name="2010-2012" sheetId="2" state="hidden" r:id="rId2"/>
    <sheet name="2011-2015" sheetId="3" r:id="rId3"/>
    <sheet name="SXSH" sheetId="4" r:id="rId4"/>
    <sheet name="00000000" sheetId="5" state="veryHidden" r:id="rId5"/>
    <sheet name="TKNL" sheetId="6" r:id="rId6"/>
    <sheet name="DA TTTL" sheetId="7" r:id="rId7"/>
    <sheet name="TONGHOP" sheetId="8" r:id="rId8"/>
  </sheets>
  <externalReferences>
    <externalReference r:id="rId11"/>
    <externalReference r:id="rId12"/>
    <externalReference r:id="rId13"/>
    <externalReference r:id="rId14"/>
  </externalReferences>
  <definedNames>
    <definedName name="begin" localSheetId="2">#REF!</definedName>
    <definedName name="begin" localSheetId="5">#REF!</definedName>
    <definedName name="begin">#REF!</definedName>
    <definedName name="CULY">#REF!</definedName>
    <definedName name="DON_giA">'[4]DON GIA CAN THO'!$A$4:$F$196</definedName>
    <definedName name="DPHG">#REF!</definedName>
    <definedName name="GBIEU">#REF!</definedName>
    <definedName name="HANG">#REF!</definedName>
    <definedName name="Hinh_thuc">"bangtra"</definedName>
    <definedName name="LOAI">#REF!</definedName>
    <definedName name="전" localSheetId="2">#REF!</definedName>
    <definedName name="전" localSheetId="5">#REF!</definedName>
    <definedName name="전">#REF!</definedName>
    <definedName name="주택사업본부" localSheetId="2">#REF!</definedName>
    <definedName name="주택사업본부" localSheetId="5">#REF!</definedName>
    <definedName name="주택사업본부">#REF!</definedName>
    <definedName name="철구사업본부" localSheetId="2">#REF!</definedName>
    <definedName name="철구사업본부" localSheetId="5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<sst xmlns="http://schemas.openxmlformats.org/spreadsheetml/2006/main" count="430" uniqueCount="171">
  <si>
    <t>STT</t>
  </si>
  <si>
    <t>Các chỉ tiêu cơ bản</t>
  </si>
  <si>
    <t>Kết quả của các năm</t>
  </si>
  <si>
    <t>Doanh thu (tỷ đồng)</t>
  </si>
  <si>
    <t>Nộp ngân sách (triệu đồng)</t>
  </si>
  <si>
    <t>Lợi nhuận trước thuế (triệu đồng)</t>
  </si>
  <si>
    <t>Thu nhập bình quân (triệu đồng)</t>
  </si>
  <si>
    <t>Thực hiện</t>
  </si>
  <si>
    <t>Năm 2005</t>
  </si>
  <si>
    <t>Năm 2006</t>
  </si>
  <si>
    <t>Năm 2007</t>
  </si>
  <si>
    <t>Năm 2008</t>
  </si>
  <si>
    <t>Năm 2009</t>
  </si>
  <si>
    <t>Tỷ lệ BQ</t>
  </si>
  <si>
    <t xml:space="preserve">Tỷ lệ </t>
  </si>
  <si>
    <t>Đơn thư khiếu nại, tố cáo</t>
  </si>
  <si>
    <t>Đơn vị văn hóa</t>
  </si>
  <si>
    <t>Xây dựng CĐCS vững mạnh</t>
  </si>
  <si>
    <t>Không</t>
  </si>
  <si>
    <t>Đạt</t>
  </si>
  <si>
    <t>SỞ CÔNG THƯƠNG ĐỒNG NAI</t>
  </si>
  <si>
    <t>TRUNG TÂM TƯ VẤN CÔNG NGHIỆP</t>
  </si>
  <si>
    <t>Cộng hòa xã hội chủ nghĩa Việt Nam</t>
  </si>
  <si>
    <t>Độc lập Tự do Hạnh phúc</t>
  </si>
  <si>
    <t>MỘT SỐ CHỈ TIÊU CƠ BẢN ĐẠT ĐƯỢC TRONG NHIỆM KỲ II(2005 - 2010)</t>
  </si>
  <si>
    <t>CHI BỘ TRUNG TÂM TƯ VẤN CÔNG NGHIỆP ĐỒNG NAI</t>
  </si>
  <si>
    <t>XDựng TCCS Đảng TSVM</t>
  </si>
  <si>
    <t>Đóng góp các lọai quỹ(triệu đồng)</t>
  </si>
  <si>
    <t>XD nhà tình thương(triệu đồng)</t>
  </si>
  <si>
    <t>TỔNG HỢP BQ 05 NĂM</t>
  </si>
  <si>
    <t>CỘNG HÒA XÃ HỘI CHỦ NGHĨA VIỆT NAM</t>
  </si>
  <si>
    <t>Độc lập - Tự do - Hạnh phúc</t>
  </si>
  <si>
    <t>Năm 2010</t>
  </si>
  <si>
    <t>Năm 2011</t>
  </si>
  <si>
    <t>Ước Năm 2012</t>
  </si>
  <si>
    <t>MỘT SỐ CHỈ TIÊU CƠ BẢN ĐẠT ĐƯỢC TRONG NHIỆM KỲ III(2010 - 2012)</t>
  </si>
  <si>
    <t>TỔNG HỢP BQ 03 NĂM</t>
  </si>
  <si>
    <t>ĐƠN VỊ TRUNG TÂM TƯ VẤN CÔNG NGHIỆP ĐỒNG NAI</t>
  </si>
  <si>
    <t>MỘT SỐ CHỈ TIÊU CƠ BẢN ĐẠT ĐƯỢC GIAI ĐoẠN (2011 - 2014) VÀ DỰ KIẾN NĂM 2015</t>
  </si>
  <si>
    <t>Năm 2012</t>
  </si>
  <si>
    <t>Ước Năm 2014</t>
  </si>
  <si>
    <t>Năm 2013</t>
  </si>
  <si>
    <t>Năm 2015</t>
  </si>
  <si>
    <t>Dự kiến</t>
  </si>
  <si>
    <t>Xây Dựng TCCS Đảng TSVM</t>
  </si>
  <si>
    <t>MỘT SỐ CHỈ TIÊU CƠ BẢN ĐẠT ĐƯỢC GIAI ĐOẠN (2011 - 2014) VÀ DỰ KIẾN NĂM 2015</t>
  </si>
  <si>
    <t>TRUNG TÂM TƯ VẤN CÔNG NGHIỆP ĐỒNG NAI</t>
  </si>
  <si>
    <t>Độc lập – Tự do – Hạnh phúc</t>
  </si>
  <si>
    <t xml:space="preserve">Đơn vị tính: đồng </t>
  </si>
  <si>
    <t>NỘI DUNG</t>
  </si>
  <si>
    <t>Đ.VỊ TÍNH</t>
  </si>
  <si>
    <t>KHỐI LƯỢNG</t>
  </si>
  <si>
    <t>ĐƠN GIÁ/ĐỊNH MỨC</t>
  </si>
  <si>
    <t>GHI CHÚ</t>
  </si>
  <si>
    <t>I</t>
  </si>
  <si>
    <t>Tuyên truyền trên các phương tiện thông tin đại chúng:</t>
  </si>
  <si>
    <t xml:space="preserve">Đài phát thanh 10 huyện, TX.L Khánh và TP. Biên Hòa </t>
  </si>
  <si>
    <t>C.Trình /Năm</t>
  </si>
  <si>
    <t>5.000.000đ/C.Trình)</t>
  </si>
  <si>
    <t>DT theo Báo giá, TT theo HĐ T.Tế</t>
  </si>
  <si>
    <t>Đài phát thanh - Truyền hình Đồng Nai</t>
  </si>
  <si>
    <t>2.1</t>
  </si>
  <si>
    <t>Phát trên đài FM</t>
  </si>
  <si>
    <t>Lần / năm</t>
  </si>
  <si>
    <t>500.000đ/lần</t>
  </si>
  <si>
    <t>2.2</t>
  </si>
  <si>
    <t>Đài truyền hình (Phát chuyên mục thời lượng phát sóng 5-7 phút/lần)</t>
  </si>
  <si>
    <t>Lần/năm</t>
  </si>
  <si>
    <t>15.000.000đ/lần</t>
  </si>
  <si>
    <t>6.000.000đ/lần(1lần /Quý* 3Quý)</t>
  </si>
  <si>
    <t>II</t>
  </si>
  <si>
    <t>Tuyên truyền thông qua tài liệu, hình ảnh</t>
  </si>
  <si>
    <t>Bộ</t>
  </si>
  <si>
    <t xml:space="preserve">10.000đ/bộ </t>
  </si>
  <si>
    <t>Cuốn</t>
  </si>
  <si>
    <t>30.000đ/cuốn</t>
  </si>
  <si>
    <t>Cái</t>
  </si>
  <si>
    <t xml:space="preserve">300.000đ/cái* (2đợt/năm*20cái*11 huyện thị) </t>
  </si>
  <si>
    <t>III</t>
  </si>
  <si>
    <t>Tổ chức thực hiện các chương trình tập huấn, hội thảo.</t>
  </si>
  <si>
    <t xml:space="preserve">Tổ chức tập huấn, nâng cao năng lực về SXSH cho CB quản lý các huyện thị, TP và các KCN, CCN (khoảng 50 người/lần):  </t>
  </si>
  <si>
    <t>Lần</t>
  </si>
  <si>
    <t>DT tạm tính, TT theo chứng từ T.Tế</t>
  </si>
  <si>
    <t>DỰ TOÁN CHI TIẾT 1 LẦN TẬP HUẤN:   Thời gian: 02 ngày - 50 người/Lớp.</t>
  </si>
  <si>
    <t>Biên soạn tài liệu tập huấn, phổ biến về SXSH.</t>
  </si>
  <si>
    <t>Công</t>
  </si>
  <si>
    <t>Chi hỗ trợ tiền ăn cho học viên(50 người x 2 ngày/Lớp)</t>
  </si>
  <si>
    <t>Ngươời x buổi</t>
  </si>
  <si>
    <t>Thuê hội trường</t>
  </si>
  <si>
    <t>Ngày</t>
  </si>
  <si>
    <t>Thuê giáo viên(2 ngày/lớp x 2 buổi/ngày)</t>
  </si>
  <si>
    <t>Người</t>
  </si>
  <si>
    <t>Chi phí vận chuyễn đưa đón giảng viên(TP.HCM - Biên Hòa)</t>
  </si>
  <si>
    <t>Chuyến</t>
  </si>
  <si>
    <t>Chi phí ăn uống cho giảng viên (2 người x 2 ngày)</t>
  </si>
  <si>
    <t>Người/ngày</t>
  </si>
  <si>
    <t>In ấn tài liệu( 1 lớp x 50 bộ/lớp)</t>
  </si>
  <si>
    <t>Chi phí nước uống, ăn nhẹ(50 người x 2 buổi/ngày x 2nga2y / lớp)</t>
  </si>
  <si>
    <t>IV</t>
  </si>
  <si>
    <t>Hỗ trợ kỹ thuật và áp dụng SXSH tại CSSX</t>
  </si>
  <si>
    <t>Đề tài</t>
  </si>
  <si>
    <t>30.000.000đ/đề tài</t>
  </si>
  <si>
    <t>DN</t>
  </si>
  <si>
    <t>30.000.000đ/DN</t>
  </si>
  <si>
    <t>Xây dựng hạ tầng kỹ thuật phục vụ công tác SXSH</t>
  </si>
  <si>
    <t>Khảo sát thực tế tại các KCN, CCN, đểm CN để lựa chọn đơn vị xây dựng điển hình về SXSH trong công nghiệp.</t>
  </si>
  <si>
    <t>(NC: 5 người × 157.349 đồng/công (KS4) - Xe: 01 chuyến x 2.000.000đ/ngày) = 2.786745đ/lần</t>
  </si>
  <si>
    <t>Phát tờ rơi, khảo sát thông tin các DN để phục vụ công tác tuyên truyền qua hệ thống Website về SXSH.</t>
  </si>
  <si>
    <t>Tổng hợp số liệu, cập nhật thông tin và quản trị trang Website về SXSH</t>
  </si>
  <si>
    <t>(NC: 2 người × 157.349 đồng/công (KS4) * 10 công/tháng * 12T</t>
  </si>
  <si>
    <t>Photo, in ấn tài liệu cho cán bộ</t>
  </si>
  <si>
    <t>Ram</t>
  </si>
  <si>
    <t>100.000đ/ram*5 ram/th</t>
  </si>
  <si>
    <t>Tổng cộng</t>
  </si>
  <si>
    <t>(I+II+III+IV)</t>
  </si>
  <si>
    <t>Tổng cộng (làm tròn)</t>
  </si>
  <si>
    <t>Lập dự toán</t>
  </si>
  <si>
    <t>P. Giám đốc</t>
  </si>
  <si>
    <t>Chu Văn Hiếu</t>
  </si>
  <si>
    <t>DỰ TRÙ KINH PHÍ NĂM 2015</t>
  </si>
  <si>
    <t>DỰ TRÙ KINH PHÍ NĂM 2016-2020</t>
  </si>
  <si>
    <t>BẢNG DỰ TOÁN KINH PHÍ HOẠT ĐỘNG SXSH NĂM 2015 VÀ GIAI ĐOẠN 2016 - 2020</t>
  </si>
  <si>
    <t>BẢNG DỰ TOÁN KINH PHÍ HOẠT ĐỘNG TIẾT KIỆM NĂNG LƯỢNG NĂM 2015 VÀ GIAI ĐOẠN 2016 - 2020</t>
  </si>
  <si>
    <t>Hỗ trợ 50% chi phí mức tối đa là 50.000.000đ/đề tài</t>
  </si>
  <si>
    <t>Biên soạn tài liệu tập huấn, phổ biến về TKNL.</t>
  </si>
  <si>
    <t>In tờ rơi, Fodther tuyên truyền chủ trương, chính sách về TKNL.</t>
  </si>
  <si>
    <t xml:space="preserve">Tổ chức tập huấn hằng năm về TKNL cho CB quản lý các doanh nghiệp (khoảng 50 người/lần):  </t>
  </si>
  <si>
    <t>DN/năm</t>
  </si>
  <si>
    <t>Hỗ trợ kỹ thuật TKNL tại CSSX</t>
  </si>
  <si>
    <t>29.580.000đ/lần</t>
  </si>
  <si>
    <t>KẾ HOẠCH SẢN XUẤT SẠCH HƠN TRONG CÔNG NGHIỆP TRÊN ĐỊA BÀN TỈNH ĐỒNG NAI</t>
  </si>
  <si>
    <t>KẾ HOẠCH TIẾT KIỆM NĂNG LƯỢNG TRÊN ĐỊA BÀN TỈNH ĐỒNG NAI</t>
  </si>
  <si>
    <t>In, photo phát hành tài liệu, chuyên san giới thiệu về TKNL</t>
  </si>
  <si>
    <t>Chi phí nước uống, ăn nhẹ(50 người x 2 buổi/ngày x 2ngày / lớp)</t>
  </si>
  <si>
    <t>Khảo sát thực tế tại các KCN, CCN, đểm CN để lựa chọn đơn vị trọng điểm về TKNL</t>
  </si>
  <si>
    <t>In tờ rơi, Fodther tuyên truyền chủ trương, chính sách về sản xuất sạch hơn trong CN(Hằng năm)</t>
  </si>
  <si>
    <t>In băng rôn, bảng hiệu tuyên truyền về SXSH tại các KCN, CCN và các điểm CN trên địa bàn các huyện, thị, TP.Biên hòa(Hằng năm)</t>
  </si>
  <si>
    <t xml:space="preserve">Bản tin các KCN và bản tin ngành Công Thương </t>
  </si>
  <si>
    <t>THỰC HIỆN CÁC CHƯƠNG TRÌNH CÔNG TÁC CỦA TRUNG TÂM TƯ VẤN CÔNG NGHIỆP</t>
  </si>
  <si>
    <t>Kinh phí thực hiện Chương trình về SXSH:</t>
  </si>
  <si>
    <t>Kinh phí thực hiện Chương trình về TKNL:</t>
  </si>
  <si>
    <t>CÔNG TRÌNH: TRUNG TÂM THÔNG TIN TRIỂN LÃM</t>
  </si>
  <si>
    <t>Đơn vị tính: VNĐ</t>
  </si>
  <si>
    <t xml:space="preserve">NỘI DUNG CÔNG VIỆC </t>
  </si>
  <si>
    <t>GIÁ TRỊ DỰ TOÁN CP.CBĐT</t>
  </si>
  <si>
    <t>KẾ HOẠCH VỐN GĐ 2016 - 2020</t>
  </si>
  <si>
    <t>Ghi chú</t>
  </si>
  <si>
    <t>Khảo sát và lập báo cáo địa chất</t>
  </si>
  <si>
    <t>Chi phí lập dự án đầu tư</t>
  </si>
  <si>
    <t>Chi phí lập Báo cáo đánh giá tác động môi trường</t>
  </si>
  <si>
    <t>Thẩm tra tính hiệu quả DA đầu tư</t>
  </si>
  <si>
    <t>Chi phí rà phá bom mìn</t>
  </si>
  <si>
    <t>Chi phí Thiết kế KTTC - TDT</t>
  </si>
  <si>
    <t>Chi phí thẩm tra thiết kế KTTC-TDT</t>
  </si>
  <si>
    <t xml:space="preserve">Chi phí QLDA </t>
  </si>
  <si>
    <t>Kinh phí hoạt động của hội đồng bồi thường (2%)</t>
  </si>
  <si>
    <t>Chi phí trượt giá, phát sinh khác</t>
  </si>
  <si>
    <t>Tổng cộng(Làm tròn)</t>
  </si>
  <si>
    <t>P. GIÁM ĐỐC</t>
  </si>
  <si>
    <t>KẾ HOẠCH VỐN NĂM 2015</t>
  </si>
  <si>
    <t>Biên Hòa, ngày  10 tháng 10 năm 2014</t>
  </si>
  <si>
    <t>DỰ TOÁN CHI PHÍ CHUẨN BỊ ĐẦU TƯ CÔNG NĂM 2015 VÀ GIAI ĐOẠN 2016- 2020</t>
  </si>
  <si>
    <t>Kinh phí chuẩn bị đầu tư dự án Trung tâm triển lãm tỉnh Đồng Nai</t>
  </si>
  <si>
    <t>BẢNG TỔNG HỢP KINH PHÍ NĂM 2015 VÀ GIAI ĐOẠN 2016 - 2020</t>
  </si>
  <si>
    <t>Lập báo cáo đánh giá SXSH tại các CSSX, DN điển hình trong công nghiệp(Năm 2015 dự kiến 10 DN, Giai đoạn 2016-2020 mỗi năm 10 DN).</t>
  </si>
  <si>
    <t>Hỗ trợ kỹ thuật xây dựng thí điểm SXSH tại 01 số DN SX công nghiệp điển hình. (Năm 2015 dự kiến 10 DN, Giai đoạn 2016-2020 mỗi năm 10 DN).</t>
  </si>
  <si>
    <t>In, photo phát hành chuyên san giới thiệu về  SXSH (Hằng năm)</t>
  </si>
  <si>
    <t>Lập báo cáo kiểm toán năng lượng cho DN trọng điểm (Mỗi năm 10 DN).</t>
  </si>
  <si>
    <t xml:space="preserve">Xây dựng hạ tầng kỹ thuật </t>
  </si>
  <si>
    <t>Đồng Nai, ngày 20  tháng 10 năm 2014</t>
  </si>
  <si>
    <t>Biên Hòa, ngày  20 tháng 10 năm 2014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</si>
</sst>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000"/>
    <numFmt numFmtId="194" formatCode="0.000%"/>
    <numFmt numFmtId="195" formatCode="0.0%"/>
    <numFmt numFmtId="196" formatCode="0.00000"/>
    <numFmt numFmtId="197" formatCode="0.0000"/>
    <numFmt numFmtId="198" formatCode="0.000"/>
    <numFmt numFmtId="199" formatCode="0.0"/>
    <numFmt numFmtId="200" formatCode="0.000000"/>
    <numFmt numFmtId="201" formatCode="0.00000000"/>
    <numFmt numFmtId="202" formatCode="0.0000000"/>
    <numFmt numFmtId="203" formatCode="#,##0.0"/>
    <numFmt numFmtId="204" formatCode="_(* #,##0_);_(* \(#,##0\);_(* &quot;-&quot;??_);_(@_)"/>
    <numFmt numFmtId="205" formatCode="#,###"/>
  </numFmts>
  <fonts count="79">
    <font>
      <sz val="12"/>
      <name val="VNI-Times"/>
      <family val="0"/>
    </font>
    <font>
      <b/>
      <sz val="10"/>
      <name val="Helv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I-Times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바탕체"/>
      <family val="1"/>
    </font>
    <font>
      <sz val="12"/>
      <name val="돋움체"/>
      <family val="3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VNI-Times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color indexed="12"/>
      <name val="Arial"/>
      <family val="2"/>
    </font>
    <font>
      <sz val="10"/>
      <name val="Times New Roman"/>
      <family val="1"/>
    </font>
    <font>
      <sz val="13"/>
      <color indexed="12"/>
      <name val="Arial"/>
      <family val="2"/>
    </font>
    <font>
      <sz val="13"/>
      <color indexed="12"/>
      <name val="Times New Roman"/>
      <family val="1"/>
    </font>
    <font>
      <b/>
      <sz val="10"/>
      <name val="Arial"/>
      <family val="2"/>
    </font>
    <font>
      <i/>
      <sz val="13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3"/>
      <name val="VNI-Times"/>
      <family val="0"/>
    </font>
    <font>
      <sz val="13"/>
      <color indexed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i/>
      <sz val="13"/>
      <name val="Times New Roman"/>
      <family val="1"/>
    </font>
    <font>
      <sz val="13"/>
      <color indexed="8"/>
      <name val="Arial"/>
      <family val="2"/>
    </font>
    <font>
      <b/>
      <i/>
      <sz val="13"/>
      <name val="Arial"/>
      <family val="2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3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1" fillId="0" borderId="0">
      <alignment/>
      <protection/>
    </xf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1" fillId="29" borderId="0" applyNumberFormat="0" applyBorder="0" applyAlignment="0" applyProtection="0"/>
    <xf numFmtId="38" fontId="4" fillId="30" borderId="0" applyNumberFormat="0" applyBorder="0" applyAlignment="0" applyProtection="0"/>
    <xf numFmtId="0" fontId="5" fillId="0" borderId="0">
      <alignment horizontal="left"/>
      <protection/>
    </xf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31" borderId="1" applyNumberFormat="0" applyAlignment="0" applyProtection="0"/>
    <xf numFmtId="10" fontId="4" fillId="30" borderId="6" applyNumberFormat="0" applyBorder="0" applyAlignment="0" applyProtection="0"/>
    <xf numFmtId="0" fontId="9" fillId="0" borderId="0">
      <alignment/>
      <protection/>
    </xf>
    <xf numFmtId="0" fontId="74" fillId="0" borderId="7" applyNumberFormat="0" applyFill="0" applyAlignment="0" applyProtection="0"/>
    <xf numFmtId="0" fontId="10" fillId="0" borderId="8">
      <alignment/>
      <protection/>
    </xf>
    <xf numFmtId="0" fontId="75" fillId="32" borderId="0" applyNumberFormat="0" applyBorder="0" applyAlignment="0" applyProtection="0"/>
    <xf numFmtId="0" fontId="2" fillId="0" borderId="0">
      <alignment/>
      <protection/>
    </xf>
    <xf numFmtId="0" fontId="0" fillId="33" borderId="9" applyNumberFormat="0" applyFont="0" applyAlignment="0" applyProtection="0"/>
    <xf numFmtId="0" fontId="76" fillId="27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0" fillId="0" borderId="0">
      <alignment/>
      <protection/>
    </xf>
    <xf numFmtId="0" fontId="77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78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180">
    <xf numFmtId="0" fontId="0" fillId="0" borderId="0" xfId="0" applyAlignment="1">
      <alignment/>
    </xf>
    <xf numFmtId="0" fontId="2" fillId="0" borderId="0" xfId="83">
      <alignment/>
      <protection/>
    </xf>
    <xf numFmtId="0" fontId="0" fillId="0" borderId="0" xfId="0" applyAlignment="1" applyProtection="1">
      <alignment/>
      <protection locked="0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right" vertical="top" wrapText="1"/>
    </xf>
    <xf numFmtId="0" fontId="15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4" fontId="14" fillId="0" borderId="6" xfId="0" applyNumberFormat="1" applyFont="1" applyBorder="1" applyAlignment="1">
      <alignment horizontal="right" vertical="top" wrapText="1"/>
    </xf>
    <xf numFmtId="192" fontId="14" fillId="0" borderId="6" xfId="0" applyNumberFormat="1" applyFont="1" applyBorder="1" applyAlignment="1">
      <alignment horizontal="right" vertical="top" wrapText="1"/>
    </xf>
    <xf numFmtId="0" fontId="14" fillId="0" borderId="12" xfId="0" applyFont="1" applyBorder="1" applyAlignment="1">
      <alignment horizontal="center" vertical="top" wrapText="1"/>
    </xf>
    <xf numFmtId="199" fontId="14" fillId="0" borderId="6" xfId="0" applyNumberFormat="1" applyFont="1" applyBorder="1" applyAlignment="1">
      <alignment horizontal="right" vertical="top" wrapText="1"/>
    </xf>
    <xf numFmtId="0" fontId="18" fillId="0" borderId="6" xfId="0" applyFont="1" applyBorder="1" applyAlignment="1">
      <alignment horizontal="center" wrapText="1"/>
    </xf>
    <xf numFmtId="192" fontId="19" fillId="0" borderId="6" xfId="0" applyNumberFormat="1" applyFont="1" applyBorder="1" applyAlignment="1">
      <alignment horizontal="right" vertical="top" wrapText="1"/>
    </xf>
    <xf numFmtId="195" fontId="19" fillId="0" borderId="6" xfId="0" applyNumberFormat="1" applyFont="1" applyBorder="1" applyAlignment="1">
      <alignment horizontal="right" vertical="top" wrapText="1"/>
    </xf>
    <xf numFmtId="0" fontId="19" fillId="0" borderId="6" xfId="0" applyFont="1" applyBorder="1" applyAlignment="1">
      <alignment horizontal="right" vertical="top" wrapText="1"/>
    </xf>
    <xf numFmtId="3" fontId="19" fillId="0" borderId="6" xfId="0" applyNumberFormat="1" applyFont="1" applyBorder="1" applyAlignment="1">
      <alignment horizontal="right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5" fillId="0" borderId="13" xfId="0" applyFont="1" applyBorder="1" applyAlignment="1">
      <alignment horizontal="center" wrapText="1"/>
    </xf>
    <xf numFmtId="4" fontId="21" fillId="0" borderId="6" xfId="0" applyNumberFormat="1" applyFont="1" applyBorder="1" applyAlignment="1">
      <alignment horizontal="right" vertical="top" wrapText="1"/>
    </xf>
    <xf numFmtId="4" fontId="21" fillId="0" borderId="14" xfId="0" applyNumberFormat="1" applyFont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203" fontId="19" fillId="0" borderId="6" xfId="0" applyNumberFormat="1" applyFont="1" applyBorder="1" applyAlignment="1">
      <alignment horizontal="right" vertical="top" wrapText="1"/>
    </xf>
    <xf numFmtId="0" fontId="19" fillId="0" borderId="4" xfId="0" applyFont="1" applyBorder="1" applyAlignment="1">
      <alignment horizontal="center" vertical="top" wrapText="1"/>
    </xf>
    <xf numFmtId="203" fontId="21" fillId="0" borderId="6" xfId="0" applyNumberFormat="1" applyFont="1" applyBorder="1" applyAlignment="1">
      <alignment horizontal="right" vertical="top" wrapText="1"/>
    </xf>
    <xf numFmtId="203" fontId="21" fillId="0" borderId="14" xfId="0" applyNumberFormat="1" applyFont="1" applyBorder="1" applyAlignment="1">
      <alignment horizontal="right" vertical="top" wrapText="1"/>
    </xf>
    <xf numFmtId="195" fontId="19" fillId="0" borderId="6" xfId="72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204" fontId="22" fillId="0" borderId="0" xfId="43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6" xfId="0" applyFont="1" applyBorder="1" applyAlignment="1">
      <alignment horizontal="center" vertical="center" wrapText="1"/>
    </xf>
    <xf numFmtId="204" fontId="25" fillId="0" borderId="6" xfId="43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5" fillId="0" borderId="6" xfId="0" applyFont="1" applyBorder="1" applyAlignment="1">
      <alignment horizontal="left" wrapText="1"/>
    </xf>
    <xf numFmtId="0" fontId="26" fillId="0" borderId="6" xfId="0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 vertical="center" wrapText="1"/>
    </xf>
    <xf numFmtId="204" fontId="25" fillId="0" borderId="6" xfId="43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6" xfId="0" applyFont="1" applyBorder="1" applyAlignment="1">
      <alignment horizontal="left" vertical="center" wrapText="1"/>
    </xf>
    <xf numFmtId="3" fontId="21" fillId="0" borderId="6" xfId="0" applyNumberFormat="1" applyFont="1" applyBorder="1" applyAlignment="1">
      <alignment horizontal="center" vertical="center" wrapText="1" shrinkToFit="1"/>
    </xf>
    <xf numFmtId="204" fontId="26" fillId="0" borderId="6" xfId="43" applyNumberFormat="1" applyFont="1" applyBorder="1" applyAlignment="1">
      <alignment horizontal="right" vertical="center"/>
    </xf>
    <xf numFmtId="3" fontId="29" fillId="0" borderId="6" xfId="0" applyNumberFormat="1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/>
    </xf>
    <xf numFmtId="0" fontId="26" fillId="0" borderId="6" xfId="0" applyFont="1" applyBorder="1" applyAlignment="1">
      <alignment horizontal="left" wrapText="1"/>
    </xf>
    <xf numFmtId="3" fontId="26" fillId="0" borderId="6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31" fillId="0" borderId="0" xfId="0" applyFont="1" applyBorder="1" applyAlignment="1">
      <alignment/>
    </xf>
    <xf numFmtId="203" fontId="21" fillId="0" borderId="6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left" vertical="center" wrapText="1"/>
    </xf>
    <xf numFmtId="204" fontId="31" fillId="0" borderId="6" xfId="43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 wrapText="1"/>
    </xf>
    <xf numFmtId="3" fontId="25" fillId="0" borderId="6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0" fontId="32" fillId="0" borderId="6" xfId="0" applyFont="1" applyBorder="1" applyAlignment="1">
      <alignment/>
    </xf>
    <xf numFmtId="205" fontId="26" fillId="0" borderId="6" xfId="0" applyNumberFormat="1" applyFont="1" applyBorder="1" applyAlignment="1">
      <alignment horizontal="center" vertical="center" wrapText="1"/>
    </xf>
    <xf numFmtId="3" fontId="21" fillId="0" borderId="6" xfId="0" applyNumberFormat="1" applyFont="1" applyBorder="1" applyAlignment="1">
      <alignment horizontal="center"/>
    </xf>
    <xf numFmtId="204" fontId="2" fillId="0" borderId="6" xfId="0" applyNumberFormat="1" applyFont="1" applyBorder="1" applyAlignment="1">
      <alignment/>
    </xf>
    <xf numFmtId="0" fontId="26" fillId="0" borderId="12" xfId="0" applyFont="1" applyBorder="1" applyAlignment="1" quotePrefix="1">
      <alignment horizontal="center" vertical="center"/>
    </xf>
    <xf numFmtId="205" fontId="26" fillId="0" borderId="6" xfId="0" applyNumberFormat="1" applyFont="1" applyBorder="1" applyAlignment="1">
      <alignment horizontal="left" vertical="top" wrapText="1"/>
    </xf>
    <xf numFmtId="204" fontId="26" fillId="0" borderId="6" xfId="43" applyNumberFormat="1" applyFont="1" applyBorder="1" applyAlignment="1">
      <alignment horizontal="right" vertical="center" wrapText="1"/>
    </xf>
    <xf numFmtId="0" fontId="26" fillId="0" borderId="6" xfId="0" applyFont="1" applyBorder="1" applyAlignment="1" quotePrefix="1">
      <alignment horizontal="center" vertical="center"/>
    </xf>
    <xf numFmtId="205" fontId="26" fillId="0" borderId="6" xfId="0" applyNumberFormat="1" applyFont="1" applyBorder="1" applyAlignment="1">
      <alignment horizontal="left" vertical="center" wrapText="1"/>
    </xf>
    <xf numFmtId="0" fontId="26" fillId="0" borderId="12" xfId="0" applyFont="1" applyBorder="1" applyAlignment="1" quotePrefix="1">
      <alignment vertical="center"/>
    </xf>
    <xf numFmtId="205" fontId="33" fillId="0" borderId="6" xfId="0" applyNumberFormat="1" applyFont="1" applyBorder="1" applyAlignment="1">
      <alignment horizontal="left" vertical="center" wrapText="1" shrinkToFit="1"/>
    </xf>
    <xf numFmtId="205" fontId="19" fillId="0" borderId="6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 shrinkToFit="1"/>
    </xf>
    <xf numFmtId="204" fontId="34" fillId="0" borderId="13" xfId="43" applyNumberFormat="1" applyFont="1" applyBorder="1" applyAlignment="1">
      <alignment horizontal="right" vertical="center" wrapText="1"/>
    </xf>
    <xf numFmtId="0" fontId="26" fillId="0" borderId="16" xfId="0" applyFont="1" applyBorder="1" applyAlignment="1" quotePrefix="1">
      <alignment vertical="center"/>
    </xf>
    <xf numFmtId="3" fontId="26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3" fontId="35" fillId="0" borderId="12" xfId="0" applyNumberFormat="1" applyFont="1" applyBorder="1" applyAlignment="1">
      <alignment horizontal="center" vertical="center" wrapText="1" shrinkToFit="1"/>
    </xf>
    <xf numFmtId="0" fontId="26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205" fontId="36" fillId="0" borderId="6" xfId="0" applyNumberFormat="1" applyFont="1" applyBorder="1" applyAlignment="1">
      <alignment horizontal="right" vertical="center" wrapText="1"/>
    </xf>
    <xf numFmtId="3" fontId="35" fillId="0" borderId="6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vertical="center" wrapText="1" shrinkToFit="1"/>
    </xf>
    <xf numFmtId="0" fontId="37" fillId="0" borderId="0" xfId="0" applyFont="1" applyBorder="1" applyAlignment="1">
      <alignment horizontal="left"/>
    </xf>
    <xf numFmtId="0" fontId="38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204" fontId="25" fillId="0" borderId="6" xfId="43" applyNumberFormat="1" applyFont="1" applyBorder="1" applyAlignment="1">
      <alignment horizontal="right" vertical="center"/>
    </xf>
    <xf numFmtId="0" fontId="38" fillId="0" borderId="6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/>
    </xf>
    <xf numFmtId="204" fontId="2" fillId="0" borderId="0" xfId="43" applyNumberFormat="1" applyFont="1" applyAlignment="1">
      <alignment horizontal="right"/>
    </xf>
    <xf numFmtId="3" fontId="35" fillId="0" borderId="12" xfId="0" applyNumberFormat="1" applyFont="1" applyBorder="1" applyAlignment="1">
      <alignment vertical="center" wrapText="1" shrinkToFi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7" fontId="49" fillId="0" borderId="18" xfId="0" applyNumberFormat="1" applyFont="1" applyBorder="1" applyAlignment="1">
      <alignment horizontal="right" vertical="top" wrapText="1"/>
    </xf>
    <xf numFmtId="0" fontId="26" fillId="0" borderId="6" xfId="0" applyFont="1" applyBorder="1" applyAlignment="1">
      <alignment vertical="top" wrapText="1"/>
    </xf>
    <xf numFmtId="37" fontId="14" fillId="0" borderId="17" xfId="0" applyNumberFormat="1" applyFont="1" applyBorder="1" applyAlignment="1">
      <alignment horizontal="right" vertical="top" wrapText="1"/>
    </xf>
    <xf numFmtId="37" fontId="49" fillId="0" borderId="17" xfId="0" applyNumberFormat="1" applyFont="1" applyBorder="1" applyAlignment="1">
      <alignment horizontal="right" vertical="top" wrapText="1"/>
    </xf>
    <xf numFmtId="0" fontId="26" fillId="0" borderId="14" xfId="0" applyFont="1" applyBorder="1" applyAlignment="1">
      <alignment horizontal="center" vertical="top" wrapText="1"/>
    </xf>
    <xf numFmtId="37" fontId="26" fillId="0" borderId="6" xfId="0" applyNumberFormat="1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50" fillId="0" borderId="6" xfId="0" applyFont="1" applyBorder="1" applyAlignment="1">
      <alignment horizontal="center" vertical="top" wrapText="1"/>
    </xf>
    <xf numFmtId="37" fontId="25" fillId="0" borderId="6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204" fontId="26" fillId="0" borderId="6" xfId="43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3" fontId="35" fillId="0" borderId="6" xfId="0" applyNumberFormat="1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 horizontal="right" wrapText="1"/>
    </xf>
    <xf numFmtId="0" fontId="26" fillId="0" borderId="6" xfId="0" applyFont="1" applyBorder="1" applyAlignment="1">
      <alignment/>
    </xf>
    <xf numFmtId="3" fontId="26" fillId="0" borderId="6" xfId="0" applyNumberFormat="1" applyFont="1" applyBorder="1" applyAlignment="1">
      <alignment horizontal="right" wrapText="1"/>
    </xf>
    <xf numFmtId="0" fontId="26" fillId="0" borderId="6" xfId="0" applyFont="1" applyBorder="1" applyAlignment="1">
      <alignment wrapText="1" shrinkToFit="1"/>
    </xf>
    <xf numFmtId="0" fontId="19" fillId="0" borderId="13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4" fontId="19" fillId="0" borderId="13" xfId="0" applyNumberFormat="1" applyFont="1" applyBorder="1" applyAlignment="1">
      <alignment horizontal="center" vertical="top" wrapText="1"/>
    </xf>
    <xf numFmtId="4" fontId="19" fillId="0" borderId="17" xfId="0" applyNumberFormat="1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3" fontId="35" fillId="0" borderId="12" xfId="0" applyNumberFormat="1" applyFont="1" applyBorder="1" applyAlignment="1">
      <alignment horizontal="center" vertical="center" wrapText="1" shrinkToFit="1"/>
    </xf>
    <xf numFmtId="3" fontId="35" fillId="0" borderId="14" xfId="0" applyNumberFormat="1" applyFont="1" applyBorder="1" applyAlignment="1">
      <alignment horizontal="center" vertical="center" wrapText="1" shrinkToFit="1"/>
    </xf>
    <xf numFmtId="3" fontId="35" fillId="0" borderId="16" xfId="0" applyNumberFormat="1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15" xfId="0" applyFont="1" applyBorder="1" applyAlignment="1">
      <alignment horizontal="right"/>
    </xf>
    <xf numFmtId="3" fontId="29" fillId="0" borderId="12" xfId="0" applyNumberFormat="1" applyFont="1" applyBorder="1" applyAlignment="1">
      <alignment horizontal="center" vertical="center" wrapText="1" shrinkToFit="1"/>
    </xf>
    <xf numFmtId="3" fontId="29" fillId="0" borderId="16" xfId="0" applyNumberFormat="1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Grey" xfId="54"/>
    <cellStyle name="HEADER" xfId="55"/>
    <cellStyle name="Header1" xfId="56"/>
    <cellStyle name="Header2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nput [yellow]" xfId="64"/>
    <cellStyle name="Line" xfId="65"/>
    <cellStyle name="Linked Cell" xfId="66"/>
    <cellStyle name="Model" xfId="67"/>
    <cellStyle name="Neutral" xfId="68"/>
    <cellStyle name="Normal - Style1" xfId="69"/>
    <cellStyle name="Note" xfId="70"/>
    <cellStyle name="Output" xfId="71"/>
    <cellStyle name="Percent" xfId="72"/>
    <cellStyle name="Percent [2]" xfId="73"/>
    <cellStyle name="subhead" xfId="74"/>
    <cellStyle name="Title" xfId="75"/>
    <cellStyle name="Total" xfId="76"/>
    <cellStyle name="Warning Text" xfId="77"/>
    <cellStyle name="콤마 [0]_2월매출 " xfId="78"/>
    <cellStyle name="콤마_2월매출 " xfId="79"/>
    <cellStyle name="통화 [0]_2월매출 " xfId="80"/>
    <cellStyle name="통화_2월매출 " xfId="81"/>
    <cellStyle name="표준_0614" xfId="82"/>
    <cellStyle name="표준_kc-elec system check lis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1</xdr:col>
      <xdr:colOff>2609850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95300" y="4095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943850" y="400050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1</xdr:col>
      <xdr:colOff>2609850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95300" y="4095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943850" y="400050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EHOACH\Trinhduy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vu-2\c\B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Ttkkttc\XDM-TThanh\TRANG\BCQT\CP%20trich%20truo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Ttkkttc\XDM-TThanh\sang\CONG%20TRINH%20TRUNG%20THE\LONG%20AN\Trung%20the%20-%20Tuyen%20Binh%20Tay%20-%20Vinh%20H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nhduyet-EVN"/>
      <sheetName val="Trinhduyet-A"/>
      <sheetName val="Trinhduyet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TBS(NH)"/>
      <sheetName val="QTBS(NH) (2)"/>
      <sheetName val="Sheet3"/>
      <sheetName val="qtbs "/>
      <sheetName val="QTLUONGQ3-99(VAT)"/>
      <sheetName val="tkhoan-XDCB"/>
      <sheetName val="btkts"/>
      <sheetName val="tsnbtkts"/>
      <sheetName val="tminhbc"/>
      <sheetName val="pltm"/>
      <sheetName val="B 02-DN"/>
      <sheetName val="B 02-DN "/>
      <sheetName val="05-06-THKT(r)"/>
      <sheetName val="07-THKT"/>
      <sheetName val="08-THKT(r)"/>
      <sheetName val="09-THKT(x)"/>
      <sheetName val="10-THKT(r)"/>
      <sheetName val="12-THKT"/>
      <sheetName val="cptngoai"/>
      <sheetName val="13B-THKT"/>
      <sheetName val="14-THKT"/>
      <sheetName val="15-THKT(x)"/>
      <sheetName val="pluc1"/>
      <sheetName val="pluc2"/>
      <sheetName val="tk131"/>
      <sheetName val="tk131 (2)"/>
      <sheetName val="XDthueDT"/>
      <sheetName val="cpdd"/>
      <sheetName val="pluc6"/>
      <sheetName val="pluc7"/>
      <sheetName val="pluc8"/>
      <sheetName val="pluc9"/>
      <sheetName val="pluc10"/>
      <sheetName val="LailoQ3-99"/>
      <sheetName val="pluc11a"/>
      <sheetName val="pc-LN"/>
      <sheetName val="pluc12(x)"/>
      <sheetName val="pluctknb"/>
      <sheetName val="#REF"/>
      <sheetName val="BTH-TBT-XDM (tong)"/>
      <sheetName val="BTH-TBT (tuan)"/>
      <sheetName val="BTH-TBT (thang)"/>
      <sheetName val="BTH-TBT (thang10)"/>
      <sheetName val="8-2"/>
      <sheetName val="8-2 (2)"/>
      <sheetName val="BC THANG TC-KT"/>
      <sheetName val="bc thang tc-kt (Huong)"/>
      <sheetName val="bc thang tc-kt (Huong) (4 than)"/>
      <sheetName val="KHOI LUONG T10"/>
      <sheetName val="8-1"/>
      <sheetName val="KHOI LUONG (2)"/>
      <sheetName val="BC THANG TC-KT (2)"/>
      <sheetName val="XL4Poppy"/>
      <sheetName val="Sheet2"/>
      <sheetName val="plucб1a"/>
      <sheetName val="DTHU12-04"/>
      <sheetName val="TBAY01"/>
      <sheetName val="DTHU-01"/>
      <sheetName val="CPT01"/>
      <sheetName val="DTNVBH"/>
      <sheetName val="00000000"/>
      <sheetName val="10000000"/>
      <sheetName val="20000000"/>
      <sheetName val=" BCao thg 1-1"/>
      <sheetName val=" BCao thg 1"/>
      <sheetName val="Khoach quyI"/>
      <sheetName val="Bcao tiendo"/>
      <sheetName val="Mau BCao thang 1"/>
      <sheetName val="CBCNV_99"/>
      <sheetName val="CBCNV_2000"/>
      <sheetName val="Sheet4"/>
      <sheetName val="Sheet5"/>
      <sheetName val="Sheet6"/>
      <sheetName val="Sheet7"/>
      <sheetName val="Sheet8"/>
      <sheetName val="BAOCAO NAM"/>
      <sheetName val="BAO CAOT01-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 trich truoc 1999 (cu)"/>
      <sheetName val="CP trich truoc 1999"/>
      <sheetName val="Trích CP 2000"/>
      <sheetName val="Sheet2"/>
      <sheetName val="Trich CP Quy I-2000"/>
      <sheetName val="Trich CP Q2-2000"/>
      <sheetName val="Trích CP Q3-2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  <sheetName val="Hinh thuc "/>
      <sheetName val="Hinh thuc hthh"/>
      <sheetName val="Bang phan tru TT 1 pha"/>
      <sheetName val="Bang phan tru HTDL"/>
      <sheetName val="Bang phan tru HTHH"/>
      <sheetName val="Liet ke duong day trung the"/>
      <sheetName val="Liet ke TBA1x25 kVA "/>
      <sheetName val="Liet ke TBA1x50 kVA "/>
      <sheetName val="LK TBA 1 PHA (1x15)"/>
      <sheetName val="bang tong hop du toan"/>
      <sheetName val="Du toan DZ trung the"/>
      <sheetName val=" VL-NC-MTC DZ trung the"/>
      <sheetName val="day su phu kien DZ trung the"/>
      <sheetName val="Du toan DZ ha the "/>
      <sheetName val=" VL-NC-MTC DZ ha the"/>
      <sheetName val="day su phu kien DZ ha the"/>
      <sheetName val="Chi tiet mong-xa-chang"/>
      <sheetName val="Bang tinh VL-NC 3 pha"/>
      <sheetName val="LK TBA 3X25"/>
      <sheetName val="Du toan TBA 50 KVA"/>
      <sheetName val="DT 4 TBA25"/>
      <sheetName val="VT-TB 02 Tram 25 kVA"/>
      <sheetName val="VT-TB 13 Tram 50 kVA"/>
      <sheetName val="VLP-NC-MAY 2 TBA 25 kVA"/>
      <sheetName val="VLP-NC-MAY TBA 50 kVA"/>
      <sheetName val="DT 5 TBA15 "/>
      <sheetName val="DT VT TBA 1F (1x15)"/>
      <sheetName val="NC tTBA 1F (1x15)"/>
      <sheetName val="Van chuyen duong dai"/>
      <sheetName val=" Khao sat - thiet ke"/>
      <sheetName val="Ty le %"/>
      <sheetName val="NC tTBA 1F 3(1x25)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14" sqref="H14:I14"/>
    </sheetView>
  </sheetViews>
  <sheetFormatPr defaultColWidth="8.796875" defaultRowHeight="15"/>
  <cols>
    <col min="1" max="1" width="5.69921875" style="0" bestFit="1" customWidth="1"/>
    <col min="2" max="2" width="27.09765625" style="0" bestFit="1" customWidth="1"/>
    <col min="3" max="3" width="13" style="0" hidden="1" customWidth="1"/>
    <col min="4" max="4" width="7.8984375" style="0" bestFit="1" customWidth="1"/>
    <col min="5" max="5" width="7" style="0" bestFit="1" customWidth="1"/>
    <col min="6" max="6" width="7.8984375" style="0" bestFit="1" customWidth="1"/>
    <col min="7" max="7" width="7" style="0" bestFit="1" customWidth="1"/>
    <col min="8" max="8" width="7.8984375" style="0" bestFit="1" customWidth="1"/>
    <col min="9" max="9" width="7" style="0" bestFit="1" customWidth="1"/>
    <col min="10" max="10" width="7.8984375" style="0" bestFit="1" customWidth="1"/>
    <col min="11" max="11" width="7" style="0" bestFit="1" customWidth="1"/>
    <col min="12" max="12" width="7.8984375" style="0" bestFit="1" customWidth="1"/>
    <col min="13" max="13" width="7" style="0" bestFit="1" customWidth="1"/>
    <col min="14" max="14" width="7.8984375" style="0" bestFit="1" customWidth="1"/>
    <col min="15" max="15" width="7" style="0" bestFit="1" customWidth="1"/>
  </cols>
  <sheetData>
    <row r="1" spans="1:15" ht="18.75" customHeight="1">
      <c r="A1" s="141" t="s">
        <v>20</v>
      </c>
      <c r="B1" s="141"/>
      <c r="C1" s="141"/>
      <c r="D1" s="141"/>
      <c r="E1" s="141"/>
      <c r="I1" s="141" t="s">
        <v>30</v>
      </c>
      <c r="J1" s="141"/>
      <c r="K1" s="141"/>
      <c r="L1" s="141"/>
      <c r="M1" s="141"/>
      <c r="N1" s="141"/>
      <c r="O1" s="141"/>
    </row>
    <row r="2" spans="1:15" ht="18.75" customHeight="1">
      <c r="A2" s="142" t="s">
        <v>21</v>
      </c>
      <c r="B2" s="142"/>
      <c r="C2" s="142"/>
      <c r="D2" s="142"/>
      <c r="E2" s="142"/>
      <c r="J2" s="141" t="s">
        <v>31</v>
      </c>
      <c r="K2" s="141"/>
      <c r="L2" s="141"/>
      <c r="M2" s="141"/>
      <c r="N2" s="141"/>
      <c r="O2" s="141"/>
    </row>
    <row r="4" spans="1:15" ht="20.25">
      <c r="A4" s="140" t="s">
        <v>24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27" customHeight="1">
      <c r="A5" s="140" t="s">
        <v>25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8" customFormat="1" ht="18.75">
      <c r="A6" s="143" t="s">
        <v>0</v>
      </c>
      <c r="B6" s="154" t="s">
        <v>1</v>
      </c>
      <c r="C6" s="5"/>
      <c r="D6" s="157" t="s">
        <v>2</v>
      </c>
      <c r="E6" s="157"/>
      <c r="F6" s="157"/>
      <c r="G6" s="157"/>
      <c r="H6" s="157"/>
      <c r="I6" s="157"/>
      <c r="J6" s="157"/>
      <c r="K6" s="157"/>
      <c r="L6" s="157"/>
      <c r="M6" s="157"/>
      <c r="N6" s="150" t="s">
        <v>29</v>
      </c>
      <c r="O6" s="151"/>
    </row>
    <row r="7" spans="1:15" s="18" customFormat="1" ht="18.75">
      <c r="A7" s="144"/>
      <c r="B7" s="155"/>
      <c r="C7" s="19">
        <v>2004</v>
      </c>
      <c r="D7" s="146" t="s">
        <v>8</v>
      </c>
      <c r="E7" s="147"/>
      <c r="F7" s="146" t="s">
        <v>9</v>
      </c>
      <c r="G7" s="147"/>
      <c r="H7" s="146" t="s">
        <v>10</v>
      </c>
      <c r="I7" s="147"/>
      <c r="J7" s="146" t="s">
        <v>11</v>
      </c>
      <c r="K7" s="147"/>
      <c r="L7" s="146" t="s">
        <v>12</v>
      </c>
      <c r="M7" s="147"/>
      <c r="N7" s="152"/>
      <c r="O7" s="153"/>
    </row>
    <row r="8" spans="1:15" ht="20.25" customHeight="1">
      <c r="A8" s="145"/>
      <c r="B8" s="156"/>
      <c r="C8" s="5" t="s">
        <v>7</v>
      </c>
      <c r="D8" s="11" t="s">
        <v>7</v>
      </c>
      <c r="E8" s="11" t="s">
        <v>14</v>
      </c>
      <c r="F8" s="11" t="s">
        <v>7</v>
      </c>
      <c r="G8" s="11" t="s">
        <v>14</v>
      </c>
      <c r="H8" s="11" t="s">
        <v>7</v>
      </c>
      <c r="I8" s="11" t="s">
        <v>14</v>
      </c>
      <c r="J8" s="11" t="s">
        <v>7</v>
      </c>
      <c r="K8" s="11" t="s">
        <v>14</v>
      </c>
      <c r="L8" s="11" t="s">
        <v>7</v>
      </c>
      <c r="M8" s="11" t="s">
        <v>14</v>
      </c>
      <c r="N8" s="11" t="s">
        <v>7</v>
      </c>
      <c r="O8" s="11" t="s">
        <v>13</v>
      </c>
    </row>
    <row r="9" spans="1:15" ht="24.75" customHeight="1">
      <c r="A9" s="3">
        <v>1</v>
      </c>
      <c r="B9" s="16" t="s">
        <v>3</v>
      </c>
      <c r="C9" s="8">
        <f>4.26/127.2%</f>
        <v>3.3490566037735845</v>
      </c>
      <c r="D9" s="12">
        <v>4.26</v>
      </c>
      <c r="E9" s="13">
        <f>D9/C9</f>
        <v>1.272</v>
      </c>
      <c r="F9" s="12">
        <v>3.944</v>
      </c>
      <c r="G9" s="13">
        <f>F9/D9</f>
        <v>0.9258215962441315</v>
      </c>
      <c r="H9" s="12">
        <v>3.624</v>
      </c>
      <c r="I9" s="13">
        <f>H9/F9</f>
        <v>0.9188640973630832</v>
      </c>
      <c r="J9" s="12">
        <v>4.68</v>
      </c>
      <c r="K9" s="13">
        <f>J9/H9</f>
        <v>1.2913907284768211</v>
      </c>
      <c r="L9" s="12">
        <v>5.271</v>
      </c>
      <c r="M9" s="13">
        <f>L9/J9</f>
        <v>1.1262820512820513</v>
      </c>
      <c r="N9" s="12">
        <f>D9+F9+H9+J9+L9</f>
        <v>21.779000000000003</v>
      </c>
      <c r="O9" s="13">
        <f>(E9+G9+I9+K9+M9)/5</f>
        <v>1.1068716946732173</v>
      </c>
    </row>
    <row r="10" spans="1:15" ht="24.75" customHeight="1">
      <c r="A10" s="3">
        <v>2</v>
      </c>
      <c r="B10" s="16" t="s">
        <v>4</v>
      </c>
      <c r="C10" s="10">
        <f>405/111.9%</f>
        <v>361.93029490616624</v>
      </c>
      <c r="D10" s="14">
        <v>405</v>
      </c>
      <c r="E10" s="13">
        <f>D10/C10</f>
        <v>1.119</v>
      </c>
      <c r="F10" s="14">
        <v>402</v>
      </c>
      <c r="G10" s="13">
        <f>F10/D10</f>
        <v>0.9925925925925926</v>
      </c>
      <c r="H10" s="14">
        <v>342</v>
      </c>
      <c r="I10" s="13">
        <f>H10/F10</f>
        <v>0.8507462686567164</v>
      </c>
      <c r="J10" s="14">
        <v>459</v>
      </c>
      <c r="K10" s="13">
        <f>J10/H10</f>
        <v>1.3421052631578947</v>
      </c>
      <c r="L10" s="14">
        <v>790</v>
      </c>
      <c r="M10" s="13">
        <f>L10/J10</f>
        <v>1.7211328976034859</v>
      </c>
      <c r="N10" s="15">
        <f>D10+F10+H10+J10+L10</f>
        <v>2398</v>
      </c>
      <c r="O10" s="13">
        <f>(E10+G10+I10+K10+M10)/5</f>
        <v>1.205115404402138</v>
      </c>
    </row>
    <row r="11" spans="1:15" ht="24.75" customHeight="1">
      <c r="A11" s="3">
        <v>3</v>
      </c>
      <c r="B11" s="16" t="s">
        <v>5</v>
      </c>
      <c r="C11" s="10">
        <f>108/110.2%</f>
        <v>98.00362976406532</v>
      </c>
      <c r="D11" s="14">
        <v>108</v>
      </c>
      <c r="E11" s="13">
        <f>D11/C11</f>
        <v>1.102</v>
      </c>
      <c r="F11" s="14">
        <v>134</v>
      </c>
      <c r="G11" s="13">
        <f>F11/D11</f>
        <v>1.2407407407407407</v>
      </c>
      <c r="H11" s="14">
        <v>186</v>
      </c>
      <c r="I11" s="13">
        <f>H11/F11</f>
        <v>1.3880597014925373</v>
      </c>
      <c r="J11" s="14">
        <v>251</v>
      </c>
      <c r="K11" s="13">
        <f>J11/H11</f>
        <v>1.3494623655913978</v>
      </c>
      <c r="L11" s="14">
        <v>270</v>
      </c>
      <c r="M11" s="13">
        <f>L11/J11</f>
        <v>1.0756972111553784</v>
      </c>
      <c r="N11" s="15">
        <f>D11+F11+H11+J11+L11</f>
        <v>949</v>
      </c>
      <c r="O11" s="13">
        <f>(E11+G11+I11+K11+M11)/5</f>
        <v>1.231192003796011</v>
      </c>
    </row>
    <row r="12" spans="1:15" ht="24.75" customHeight="1">
      <c r="A12" s="3">
        <v>4</v>
      </c>
      <c r="B12" s="16" t="s">
        <v>6</v>
      </c>
      <c r="C12" s="8">
        <f>1.883/114.5%</f>
        <v>1.6445414847161572</v>
      </c>
      <c r="D12" s="12">
        <v>1.883</v>
      </c>
      <c r="E12" s="13">
        <f>D12/C12</f>
        <v>1.145</v>
      </c>
      <c r="F12" s="12">
        <v>2.088</v>
      </c>
      <c r="G12" s="13">
        <f>F12/D12</f>
        <v>1.1088688263409454</v>
      </c>
      <c r="H12" s="12">
        <v>2.264</v>
      </c>
      <c r="I12" s="13">
        <f>H12/F12</f>
        <v>1.0842911877394634</v>
      </c>
      <c r="J12" s="12">
        <v>2.598</v>
      </c>
      <c r="K12" s="13">
        <f>J12/H12</f>
        <v>1.1475265017667844</v>
      </c>
      <c r="L12" s="12">
        <v>3.156</v>
      </c>
      <c r="M12" s="13">
        <f>L12/J12</f>
        <v>1.214780600461894</v>
      </c>
      <c r="N12" s="12">
        <f>(D12+F12+H12+J12+L12)/5</f>
        <v>2.3977999999999997</v>
      </c>
      <c r="O12" s="13">
        <f>(E12+G12+I12+K12+M12)/5</f>
        <v>1.1400934232618174</v>
      </c>
    </row>
    <row r="13" spans="1:15" ht="18.75">
      <c r="A13" s="3">
        <v>5</v>
      </c>
      <c r="B13" s="16" t="s">
        <v>27</v>
      </c>
      <c r="C13" s="7"/>
      <c r="D13" s="148">
        <v>3.6</v>
      </c>
      <c r="E13" s="149"/>
      <c r="F13" s="148">
        <v>3.8</v>
      </c>
      <c r="G13" s="149"/>
      <c r="H13" s="148">
        <v>2.3</v>
      </c>
      <c r="I13" s="149"/>
      <c r="J13" s="148">
        <v>4.1</v>
      </c>
      <c r="K13" s="149"/>
      <c r="L13" s="148">
        <v>3.8</v>
      </c>
      <c r="M13" s="149"/>
      <c r="N13" s="148">
        <f>(D13+F13+H13+J13+L13)/5</f>
        <v>3.5199999999999996</v>
      </c>
      <c r="O13" s="149"/>
    </row>
    <row r="14" spans="1:15" ht="24.75" customHeight="1">
      <c r="A14" s="9">
        <v>6</v>
      </c>
      <c r="B14" s="17" t="s">
        <v>28</v>
      </c>
      <c r="C14" s="4"/>
      <c r="D14" s="138">
        <v>12</v>
      </c>
      <c r="E14" s="139"/>
      <c r="F14" s="138"/>
      <c r="G14" s="139"/>
      <c r="H14" s="138"/>
      <c r="I14" s="139"/>
      <c r="J14" s="138"/>
      <c r="K14" s="139"/>
      <c r="L14" s="138">
        <v>15</v>
      </c>
      <c r="M14" s="139"/>
      <c r="N14" s="138">
        <f>(D14+F14+H14+J14+L14)/5</f>
        <v>5.4</v>
      </c>
      <c r="O14" s="139"/>
    </row>
    <row r="15" spans="1:15" ht="24.75" customHeight="1">
      <c r="A15" s="3">
        <v>7</v>
      </c>
      <c r="B15" s="16" t="s">
        <v>15</v>
      </c>
      <c r="C15" s="6"/>
      <c r="D15" s="138" t="s">
        <v>18</v>
      </c>
      <c r="E15" s="139"/>
      <c r="F15" s="138" t="s">
        <v>18</v>
      </c>
      <c r="G15" s="139"/>
      <c r="H15" s="138" t="s">
        <v>18</v>
      </c>
      <c r="I15" s="139"/>
      <c r="J15" s="138" t="s">
        <v>18</v>
      </c>
      <c r="K15" s="139"/>
      <c r="L15" s="138" t="s">
        <v>18</v>
      </c>
      <c r="M15" s="139"/>
      <c r="N15" s="138" t="s">
        <v>18</v>
      </c>
      <c r="O15" s="139"/>
    </row>
    <row r="16" spans="1:15" ht="24.75" customHeight="1">
      <c r="A16" s="3">
        <v>8</v>
      </c>
      <c r="B16" s="16" t="s">
        <v>16</v>
      </c>
      <c r="C16" s="6"/>
      <c r="D16" s="138" t="s">
        <v>19</v>
      </c>
      <c r="E16" s="139"/>
      <c r="F16" s="138" t="s">
        <v>19</v>
      </c>
      <c r="G16" s="139"/>
      <c r="H16" s="138" t="s">
        <v>19</v>
      </c>
      <c r="I16" s="139"/>
      <c r="J16" s="138" t="s">
        <v>19</v>
      </c>
      <c r="K16" s="139"/>
      <c r="L16" s="138" t="s">
        <v>19</v>
      </c>
      <c r="M16" s="139"/>
      <c r="N16" s="138" t="s">
        <v>19</v>
      </c>
      <c r="O16" s="139"/>
    </row>
    <row r="17" spans="1:15" ht="24.75" customHeight="1">
      <c r="A17" s="3">
        <v>9</v>
      </c>
      <c r="B17" s="16" t="s">
        <v>17</v>
      </c>
      <c r="C17" s="6"/>
      <c r="D17" s="138" t="s">
        <v>19</v>
      </c>
      <c r="E17" s="139"/>
      <c r="F17" s="138" t="s">
        <v>19</v>
      </c>
      <c r="G17" s="139"/>
      <c r="H17" s="138" t="s">
        <v>19</v>
      </c>
      <c r="I17" s="139"/>
      <c r="J17" s="138" t="s">
        <v>19</v>
      </c>
      <c r="K17" s="139"/>
      <c r="L17" s="138" t="s">
        <v>19</v>
      </c>
      <c r="M17" s="139"/>
      <c r="N17" s="138" t="s">
        <v>19</v>
      </c>
      <c r="O17" s="139"/>
    </row>
    <row r="18" spans="1:15" ht="24.75" customHeight="1">
      <c r="A18" s="3">
        <v>10</v>
      </c>
      <c r="B18" s="16" t="s">
        <v>26</v>
      </c>
      <c r="C18" s="6"/>
      <c r="D18" s="138" t="s">
        <v>19</v>
      </c>
      <c r="E18" s="139"/>
      <c r="F18" s="138" t="s">
        <v>19</v>
      </c>
      <c r="G18" s="139"/>
      <c r="H18" s="138" t="s">
        <v>19</v>
      </c>
      <c r="I18" s="139"/>
      <c r="J18" s="138" t="s">
        <v>19</v>
      </c>
      <c r="K18" s="139"/>
      <c r="L18" s="138" t="s">
        <v>19</v>
      </c>
      <c r="M18" s="139"/>
      <c r="N18" s="138" t="s">
        <v>19</v>
      </c>
      <c r="O18" s="139"/>
    </row>
    <row r="19" ht="24.75" customHeight="1"/>
    <row r="20" ht="24.75" customHeight="1"/>
  </sheetData>
  <sheetProtection/>
  <mergeCells count="51">
    <mergeCell ref="L14:M14"/>
    <mergeCell ref="N13:O13"/>
    <mergeCell ref="N14:O14"/>
    <mergeCell ref="D14:E14"/>
    <mergeCell ref="F13:G13"/>
    <mergeCell ref="F14:G14"/>
    <mergeCell ref="H13:I13"/>
    <mergeCell ref="H14:I14"/>
    <mergeCell ref="J14:K14"/>
    <mergeCell ref="L13:M13"/>
    <mergeCell ref="H7:I7"/>
    <mergeCell ref="J7:K7"/>
    <mergeCell ref="L7:M7"/>
    <mergeCell ref="N6:O7"/>
    <mergeCell ref="D13:E13"/>
    <mergeCell ref="J13:K13"/>
    <mergeCell ref="D6:M6"/>
    <mergeCell ref="J2:O2"/>
    <mergeCell ref="A2:E2"/>
    <mergeCell ref="A1:E1"/>
    <mergeCell ref="I1:O1"/>
    <mergeCell ref="A6:A8"/>
    <mergeCell ref="D7:E7"/>
    <mergeCell ref="F7:G7"/>
    <mergeCell ref="B6:B8"/>
    <mergeCell ref="A5:O5"/>
    <mergeCell ref="A4:O4"/>
    <mergeCell ref="L18:M18"/>
    <mergeCell ref="N15:O15"/>
    <mergeCell ref="N16:O16"/>
    <mergeCell ref="N17:O17"/>
    <mergeCell ref="N18:O18"/>
    <mergeCell ref="L15:M15"/>
    <mergeCell ref="L16:M16"/>
    <mergeCell ref="L17:M17"/>
    <mergeCell ref="H18:I18"/>
    <mergeCell ref="J15:K15"/>
    <mergeCell ref="J16:K16"/>
    <mergeCell ref="J17:K17"/>
    <mergeCell ref="J18:K18"/>
    <mergeCell ref="H15:I15"/>
    <mergeCell ref="H16:I16"/>
    <mergeCell ref="H17:I17"/>
    <mergeCell ref="D18:E18"/>
    <mergeCell ref="F15:G15"/>
    <mergeCell ref="F16:G16"/>
    <mergeCell ref="F17:G17"/>
    <mergeCell ref="F18:G18"/>
    <mergeCell ref="D15:E15"/>
    <mergeCell ref="D16:E16"/>
    <mergeCell ref="D17:E17"/>
  </mergeCells>
  <printOptions horizontalCentered="1"/>
  <pageMargins left="0.16" right="0.13" top="0.53" bottom="0.46" header="0.25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6">
      <selection activeCell="M40" sqref="M40"/>
    </sheetView>
  </sheetViews>
  <sheetFormatPr defaultColWidth="8.796875" defaultRowHeight="15"/>
  <cols>
    <col min="1" max="1" width="5.69921875" style="0" bestFit="1" customWidth="1"/>
    <col min="2" max="2" width="27.09765625" style="0" bestFit="1" customWidth="1"/>
    <col min="3" max="3" width="6.19921875" style="0" bestFit="1" customWidth="1"/>
    <col min="4" max="4" width="6.19921875" style="0" customWidth="1"/>
    <col min="5" max="5" width="7" style="0" bestFit="1" customWidth="1"/>
    <col min="6" max="6" width="7.8984375" style="0" bestFit="1" customWidth="1"/>
    <col min="7" max="7" width="7" style="0" bestFit="1" customWidth="1"/>
    <col min="8" max="8" width="6.59765625" style="0" customWidth="1"/>
    <col min="9" max="9" width="7" style="0" bestFit="1" customWidth="1"/>
    <col min="10" max="10" width="8.59765625" style="0" customWidth="1"/>
    <col min="11" max="11" width="7" style="0" bestFit="1" customWidth="1"/>
  </cols>
  <sheetData>
    <row r="1" spans="1:11" ht="18.75" customHeight="1">
      <c r="A1" s="141" t="s">
        <v>20</v>
      </c>
      <c r="B1" s="141"/>
      <c r="C1" s="141"/>
      <c r="F1" s="141" t="s">
        <v>22</v>
      </c>
      <c r="G1" s="141"/>
      <c r="H1" s="141"/>
      <c r="I1" s="141"/>
      <c r="J1" s="141"/>
      <c r="K1" s="141"/>
    </row>
    <row r="2" spans="1:11" ht="18.75">
      <c r="A2" s="142" t="s">
        <v>21</v>
      </c>
      <c r="B2" s="142"/>
      <c r="C2" s="142"/>
      <c r="F2" s="141" t="s">
        <v>23</v>
      </c>
      <c r="G2" s="141"/>
      <c r="H2" s="141"/>
      <c r="I2" s="141"/>
      <c r="J2" s="141"/>
      <c r="K2" s="141"/>
    </row>
    <row r="4" spans="1:11" ht="20.25">
      <c r="A4" s="140" t="s">
        <v>38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27" customHeight="1">
      <c r="A5" s="140" t="s">
        <v>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s="18" customFormat="1" ht="18.75" customHeight="1">
      <c r="A6" s="143" t="s">
        <v>0</v>
      </c>
      <c r="B6" s="154" t="s">
        <v>1</v>
      </c>
      <c r="C6" s="158" t="s">
        <v>32</v>
      </c>
      <c r="D6" s="157" t="s">
        <v>2</v>
      </c>
      <c r="E6" s="157"/>
      <c r="F6" s="157"/>
      <c r="G6" s="157"/>
      <c r="H6" s="157"/>
      <c r="I6" s="157"/>
      <c r="J6" s="150" t="s">
        <v>29</v>
      </c>
      <c r="K6" s="151"/>
    </row>
    <row r="7" spans="1:11" s="18" customFormat="1" ht="17.25" customHeight="1">
      <c r="A7" s="144"/>
      <c r="B7" s="155"/>
      <c r="C7" s="159"/>
      <c r="D7" s="160" t="s">
        <v>33</v>
      </c>
      <c r="E7" s="161"/>
      <c r="F7" s="160" t="s">
        <v>39</v>
      </c>
      <c r="G7" s="161"/>
      <c r="H7" s="160" t="s">
        <v>40</v>
      </c>
      <c r="I7" s="161"/>
      <c r="J7" s="152"/>
      <c r="K7" s="153"/>
    </row>
    <row r="8" spans="1:11" ht="24.75" customHeight="1">
      <c r="A8" s="3">
        <v>1</v>
      </c>
      <c r="B8" s="16" t="s">
        <v>3</v>
      </c>
      <c r="C8" s="25">
        <v>5.7</v>
      </c>
      <c r="D8" s="25">
        <v>5.1</v>
      </c>
      <c r="E8" s="13">
        <f>D8/C8</f>
        <v>0.894736842105263</v>
      </c>
      <c r="F8" s="25">
        <v>6.65</v>
      </c>
      <c r="G8" s="13">
        <f>F8/D8</f>
        <v>1.3039215686274512</v>
      </c>
      <c r="H8" s="25">
        <f>5/9*12</f>
        <v>6.666666666666667</v>
      </c>
      <c r="I8" s="13" t="e">
        <f>H8/#REF!</f>
        <v>#REF!</v>
      </c>
      <c r="J8" s="22" t="e">
        <f>(D8+F8+#REF!+H8+#REF!)/5</f>
        <v>#REF!</v>
      </c>
      <c r="K8" s="27" t="e">
        <f>(E8+G8+#REF!+I8+#REF!)/5</f>
        <v>#REF!</v>
      </c>
    </row>
    <row r="9" spans="1:11" ht="24.75" customHeight="1">
      <c r="A9" s="3">
        <v>2</v>
      </c>
      <c r="B9" s="16" t="s">
        <v>4</v>
      </c>
      <c r="C9" s="25">
        <v>730</v>
      </c>
      <c r="D9" s="25">
        <v>746</v>
      </c>
      <c r="E9" s="13">
        <f>D9/C9</f>
        <v>1.021917808219178</v>
      </c>
      <c r="F9" s="25">
        <v>1099</v>
      </c>
      <c r="G9" s="13">
        <f>F9/D9</f>
        <v>1.4731903485254692</v>
      </c>
      <c r="H9" s="25">
        <f>900/9*12</f>
        <v>1200</v>
      </c>
      <c r="I9" s="13" t="e">
        <f>H9/#REF!</f>
        <v>#REF!</v>
      </c>
      <c r="J9" s="22" t="e">
        <f>(D9+F9+#REF!+H9+#REF!)/5</f>
        <v>#REF!</v>
      </c>
      <c r="K9" s="27" t="e">
        <f>(E9+G9+#REF!+I9+#REF!)/5</f>
        <v>#REF!</v>
      </c>
    </row>
    <row r="10" spans="1:11" ht="24.75" customHeight="1">
      <c r="A10" s="3">
        <v>3</v>
      </c>
      <c r="B10" s="16" t="s">
        <v>5</v>
      </c>
      <c r="C10" s="25">
        <v>317</v>
      </c>
      <c r="D10" s="25">
        <v>251</v>
      </c>
      <c r="E10" s="13">
        <f>D10/C10</f>
        <v>0.7917981072555205</v>
      </c>
      <c r="F10" s="25">
        <v>280</v>
      </c>
      <c r="G10" s="13">
        <f>F10/D10</f>
        <v>1.1155378486055776</v>
      </c>
      <c r="H10" s="25">
        <v>330</v>
      </c>
      <c r="I10" s="13" t="e">
        <f>H10/#REF!</f>
        <v>#REF!</v>
      </c>
      <c r="J10" s="22" t="e">
        <f>(D10+F10+#REF!+H10+#REF!)/5</f>
        <v>#REF!</v>
      </c>
      <c r="K10" s="27" t="e">
        <f>(E10+G10+#REF!+I10+#REF!)/5</f>
        <v>#REF!</v>
      </c>
    </row>
    <row r="11" spans="1:11" ht="24.75" customHeight="1">
      <c r="A11" s="3">
        <v>4</v>
      </c>
      <c r="B11" s="16" t="s">
        <v>6</v>
      </c>
      <c r="C11" s="25">
        <v>3.8</v>
      </c>
      <c r="D11" s="25">
        <v>3.24</v>
      </c>
      <c r="E11" s="13">
        <f>D11/C11</f>
        <v>0.8526315789473685</v>
      </c>
      <c r="F11" s="25">
        <v>3.86</v>
      </c>
      <c r="G11" s="13">
        <f>F11/D11</f>
        <v>1.191358024691358</v>
      </c>
      <c r="H11" s="25">
        <v>4.65</v>
      </c>
      <c r="I11" s="13" t="e">
        <f>H11/#REF!</f>
        <v>#REF!</v>
      </c>
      <c r="J11" s="22" t="e">
        <f>(D11+F11+#REF!+H11+#REF!)/5</f>
        <v>#REF!</v>
      </c>
      <c r="K11" s="27" t="e">
        <f>(E11+G11+#REF!+I11+#REF!)/5</f>
        <v>#REF!</v>
      </c>
    </row>
    <row r="12" spans="1:11" ht="18.75">
      <c r="A12" s="3">
        <v>5</v>
      </c>
      <c r="B12" s="16" t="s">
        <v>27</v>
      </c>
      <c r="C12" s="25">
        <v>5.7</v>
      </c>
      <c r="D12" s="25">
        <v>3.1</v>
      </c>
      <c r="E12" s="20"/>
      <c r="F12" s="25">
        <v>5</v>
      </c>
      <c r="G12" s="20"/>
      <c r="H12" s="26">
        <v>8</v>
      </c>
      <c r="I12" s="21"/>
      <c r="J12" s="148" t="e">
        <f>(D12+F12+#REF!+H12+#REF!)/5</f>
        <v>#REF!</v>
      </c>
      <c r="K12" s="149"/>
    </row>
    <row r="13" spans="1:11" ht="24.75" customHeight="1">
      <c r="A13" s="9">
        <v>6</v>
      </c>
      <c r="B13" s="17" t="s">
        <v>28</v>
      </c>
      <c r="C13" s="25">
        <v>15</v>
      </c>
      <c r="D13" s="25"/>
      <c r="E13" s="20"/>
      <c r="F13" s="25">
        <v>7</v>
      </c>
      <c r="G13" s="20"/>
      <c r="H13" s="25">
        <v>4</v>
      </c>
      <c r="I13" s="20"/>
      <c r="J13" s="148" t="e">
        <f>(C13+D13+F13+#REF!+H13+#REF!)/6</f>
        <v>#REF!</v>
      </c>
      <c r="K13" s="149"/>
    </row>
    <row r="14" spans="1:11" ht="30.75" customHeight="1">
      <c r="A14" s="3">
        <v>7</v>
      </c>
      <c r="B14" s="16" t="s">
        <v>15</v>
      </c>
      <c r="C14" s="6"/>
      <c r="D14" s="138" t="s">
        <v>18</v>
      </c>
      <c r="E14" s="139"/>
      <c r="F14" s="138" t="s">
        <v>18</v>
      </c>
      <c r="G14" s="139"/>
      <c r="H14" s="138" t="s">
        <v>18</v>
      </c>
      <c r="I14" s="139"/>
      <c r="J14" s="138" t="s">
        <v>18</v>
      </c>
      <c r="K14" s="139"/>
    </row>
    <row r="15" spans="1:11" ht="24.75" customHeight="1">
      <c r="A15" s="3">
        <v>8</v>
      </c>
      <c r="B15" s="16" t="s">
        <v>16</v>
      </c>
      <c r="C15" s="6"/>
      <c r="D15" s="138" t="s">
        <v>19</v>
      </c>
      <c r="E15" s="139"/>
      <c r="F15" s="138" t="s">
        <v>19</v>
      </c>
      <c r="G15" s="139"/>
      <c r="H15" s="138" t="s">
        <v>19</v>
      </c>
      <c r="I15" s="139"/>
      <c r="J15" s="138" t="s">
        <v>19</v>
      </c>
      <c r="K15" s="139"/>
    </row>
    <row r="16" spans="1:11" ht="24.75" customHeight="1">
      <c r="A16" s="3">
        <v>9</v>
      </c>
      <c r="B16" s="16" t="s">
        <v>17</v>
      </c>
      <c r="C16" s="6"/>
      <c r="D16" s="138" t="s">
        <v>19</v>
      </c>
      <c r="E16" s="139"/>
      <c r="F16" s="138" t="s">
        <v>19</v>
      </c>
      <c r="G16" s="139"/>
      <c r="H16" s="138" t="s">
        <v>19</v>
      </c>
      <c r="I16" s="139"/>
      <c r="J16" s="138" t="s">
        <v>19</v>
      </c>
      <c r="K16" s="139"/>
    </row>
    <row r="17" spans="1:11" ht="24.75" customHeight="1">
      <c r="A17" s="3">
        <v>10</v>
      </c>
      <c r="B17" s="16" t="s">
        <v>44</v>
      </c>
      <c r="C17" s="6"/>
      <c r="D17" s="138" t="s">
        <v>19</v>
      </c>
      <c r="E17" s="139"/>
      <c r="F17" s="138" t="s">
        <v>19</v>
      </c>
      <c r="G17" s="139"/>
      <c r="H17" s="138" t="s">
        <v>19</v>
      </c>
      <c r="I17" s="139"/>
      <c r="J17" s="138" t="s">
        <v>19</v>
      </c>
      <c r="K17" s="139"/>
    </row>
    <row r="18" ht="24.75" customHeight="1"/>
    <row r="19" ht="24.75" customHeight="1"/>
    <row r="27" spans="1:11" ht="18.75">
      <c r="A27" s="141" t="s">
        <v>20</v>
      </c>
      <c r="B27" s="141"/>
      <c r="C27" s="141"/>
      <c r="F27" s="141" t="s">
        <v>22</v>
      </c>
      <c r="G27" s="141"/>
      <c r="H27" s="141"/>
      <c r="I27" s="141"/>
      <c r="J27" s="141"/>
      <c r="K27" s="141"/>
    </row>
    <row r="28" spans="1:11" ht="18.75">
      <c r="A28" s="142" t="s">
        <v>21</v>
      </c>
      <c r="B28" s="142"/>
      <c r="C28" s="142"/>
      <c r="F28" s="141" t="s">
        <v>23</v>
      </c>
      <c r="G28" s="141"/>
      <c r="H28" s="141"/>
      <c r="I28" s="141"/>
      <c r="J28" s="141"/>
      <c r="K28" s="141"/>
    </row>
    <row r="30" spans="1:11" ht="20.25">
      <c r="A30" s="140" t="s">
        <v>35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ht="20.25">
      <c r="A31" s="140" t="s">
        <v>25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t="18.75">
      <c r="A32" s="143" t="s">
        <v>0</v>
      </c>
      <c r="B32" s="154" t="s">
        <v>1</v>
      </c>
      <c r="C32" s="5"/>
      <c r="D32" s="157" t="s">
        <v>2</v>
      </c>
      <c r="E32" s="157"/>
      <c r="F32" s="157"/>
      <c r="G32" s="157"/>
      <c r="H32" s="157"/>
      <c r="I32" s="157"/>
      <c r="J32" s="150" t="s">
        <v>36</v>
      </c>
      <c r="K32" s="151"/>
    </row>
    <row r="33" spans="1:11" ht="17.25">
      <c r="A33" s="144"/>
      <c r="B33" s="155"/>
      <c r="C33" s="19">
        <v>2009</v>
      </c>
      <c r="D33" s="160" t="s">
        <v>32</v>
      </c>
      <c r="E33" s="161"/>
      <c r="F33" s="160" t="s">
        <v>33</v>
      </c>
      <c r="G33" s="161"/>
      <c r="H33" s="160" t="s">
        <v>34</v>
      </c>
      <c r="I33" s="161"/>
      <c r="J33" s="152"/>
      <c r="K33" s="153"/>
    </row>
    <row r="34" spans="1:11" ht="18.75">
      <c r="A34" s="3">
        <v>1</v>
      </c>
      <c r="B34" s="16" t="s">
        <v>3</v>
      </c>
      <c r="C34" s="23">
        <v>4.5</v>
      </c>
      <c r="D34" s="20">
        <v>5.7</v>
      </c>
      <c r="E34" s="13">
        <f>D34/C34</f>
        <v>1.2666666666666666</v>
      </c>
      <c r="F34" s="20">
        <v>5.1</v>
      </c>
      <c r="G34" s="13">
        <f>F34/D34</f>
        <v>0.894736842105263</v>
      </c>
      <c r="H34" s="20">
        <v>5.1</v>
      </c>
      <c r="I34" s="13">
        <f>H34/F34</f>
        <v>1</v>
      </c>
      <c r="J34" s="22">
        <f aca="true" t="shared" si="0" ref="J34:K37">(D34+F34+H34)/3</f>
        <v>5.3</v>
      </c>
      <c r="K34" s="13">
        <f t="shared" si="0"/>
        <v>1.053801169590643</v>
      </c>
    </row>
    <row r="35" spans="1:11" ht="18.75">
      <c r="A35" s="3">
        <v>2</v>
      </c>
      <c r="B35" s="16" t="s">
        <v>4</v>
      </c>
      <c r="C35" s="14">
        <v>730</v>
      </c>
      <c r="D35" s="20">
        <v>730</v>
      </c>
      <c r="E35" s="13">
        <f>D35/C35</f>
        <v>1</v>
      </c>
      <c r="F35" s="20">
        <v>746</v>
      </c>
      <c r="G35" s="13">
        <f>F35/D35</f>
        <v>1.021917808219178</v>
      </c>
      <c r="H35" s="20">
        <v>750</v>
      </c>
      <c r="I35" s="13">
        <f>H35/F35</f>
        <v>1.0053619302949062</v>
      </c>
      <c r="J35" s="22">
        <f t="shared" si="0"/>
        <v>742</v>
      </c>
      <c r="K35" s="13">
        <f t="shared" si="0"/>
        <v>1.0090932461713613</v>
      </c>
    </row>
    <row r="36" spans="1:11" ht="18.75">
      <c r="A36" s="3">
        <v>3</v>
      </c>
      <c r="B36" s="16" t="s">
        <v>5</v>
      </c>
      <c r="C36" s="14">
        <v>270</v>
      </c>
      <c r="D36" s="20">
        <v>317</v>
      </c>
      <c r="E36" s="13">
        <f>D36/C36</f>
        <v>1.174074074074074</v>
      </c>
      <c r="F36" s="20">
        <v>251</v>
      </c>
      <c r="G36" s="13">
        <f>F36/D36</f>
        <v>0.7917981072555205</v>
      </c>
      <c r="H36" s="20">
        <v>300</v>
      </c>
      <c r="I36" s="13">
        <f>H36/F36</f>
        <v>1.1952191235059761</v>
      </c>
      <c r="J36" s="22">
        <f t="shared" si="0"/>
        <v>289.3333333333333</v>
      </c>
      <c r="K36" s="13">
        <f t="shared" si="0"/>
        <v>1.053697101611857</v>
      </c>
    </row>
    <row r="37" spans="1:11" ht="18.75">
      <c r="A37" s="3">
        <v>4</v>
      </c>
      <c r="B37" s="16" t="s">
        <v>6</v>
      </c>
      <c r="C37" s="23">
        <v>3.1</v>
      </c>
      <c r="D37" s="20">
        <v>3.8</v>
      </c>
      <c r="E37" s="13">
        <f>D37/C37</f>
        <v>1.225806451612903</v>
      </c>
      <c r="F37" s="20">
        <v>3.24</v>
      </c>
      <c r="G37" s="13">
        <f>F37/D37</f>
        <v>0.8526315789473685</v>
      </c>
      <c r="H37" s="20">
        <v>3.5</v>
      </c>
      <c r="I37" s="13">
        <f>H37/F37</f>
        <v>1.0802469135802468</v>
      </c>
      <c r="J37" s="22">
        <f t="shared" si="0"/>
        <v>3.513333333333333</v>
      </c>
      <c r="K37" s="13">
        <f t="shared" si="0"/>
        <v>1.0528949813801727</v>
      </c>
    </row>
    <row r="38" spans="1:11" ht="18.75">
      <c r="A38" s="3">
        <v>5</v>
      </c>
      <c r="B38" s="16" t="s">
        <v>27</v>
      </c>
      <c r="C38" s="7"/>
      <c r="D38" s="20">
        <v>5.7</v>
      </c>
      <c r="E38" s="20"/>
      <c r="F38" s="20">
        <v>3.1</v>
      </c>
      <c r="G38" s="20"/>
      <c r="H38" s="21">
        <v>2</v>
      </c>
      <c r="I38" s="21"/>
      <c r="J38" s="148">
        <f>D38+F38+H38</f>
        <v>10.8</v>
      </c>
      <c r="K38" s="149"/>
    </row>
    <row r="39" spans="1:11" ht="18.75">
      <c r="A39" s="9">
        <v>6</v>
      </c>
      <c r="B39" s="17" t="s">
        <v>28</v>
      </c>
      <c r="C39" s="4"/>
      <c r="D39" s="20">
        <v>15</v>
      </c>
      <c r="E39" s="20"/>
      <c r="F39" s="20">
        <v>0</v>
      </c>
      <c r="G39" s="20"/>
      <c r="H39" s="20">
        <v>7</v>
      </c>
      <c r="I39" s="20"/>
      <c r="J39" s="148">
        <f>D39+F39+H39</f>
        <v>22</v>
      </c>
      <c r="K39" s="149"/>
    </row>
    <row r="40" spans="1:11" ht="18.75">
      <c r="A40" s="3">
        <v>7</v>
      </c>
      <c r="B40" s="16" t="s">
        <v>15</v>
      </c>
      <c r="C40" s="6"/>
      <c r="D40" s="138" t="s">
        <v>18</v>
      </c>
      <c r="E40" s="139"/>
      <c r="F40" s="138" t="s">
        <v>18</v>
      </c>
      <c r="G40" s="139"/>
      <c r="H40" s="138" t="s">
        <v>18</v>
      </c>
      <c r="I40" s="139"/>
      <c r="J40" s="138" t="s">
        <v>18</v>
      </c>
      <c r="K40" s="139"/>
    </row>
    <row r="41" spans="1:11" ht="18.75">
      <c r="A41" s="3">
        <v>8</v>
      </c>
      <c r="B41" s="16" t="s">
        <v>16</v>
      </c>
      <c r="C41" s="6"/>
      <c r="D41" s="138" t="s">
        <v>19</v>
      </c>
      <c r="E41" s="139"/>
      <c r="F41" s="138" t="s">
        <v>19</v>
      </c>
      <c r="G41" s="139"/>
      <c r="H41" s="138" t="s">
        <v>19</v>
      </c>
      <c r="I41" s="139"/>
      <c r="J41" s="138" t="s">
        <v>19</v>
      </c>
      <c r="K41" s="139"/>
    </row>
    <row r="42" spans="1:11" ht="18.75">
      <c r="A42" s="3">
        <v>9</v>
      </c>
      <c r="B42" s="16" t="s">
        <v>17</v>
      </c>
      <c r="C42" s="6"/>
      <c r="D42" s="138" t="s">
        <v>19</v>
      </c>
      <c r="E42" s="139"/>
      <c r="F42" s="138" t="s">
        <v>19</v>
      </c>
      <c r="G42" s="139"/>
      <c r="H42" s="138" t="s">
        <v>19</v>
      </c>
      <c r="I42" s="139"/>
      <c r="J42" s="138" t="s">
        <v>19</v>
      </c>
      <c r="K42" s="139"/>
    </row>
    <row r="43" spans="1:11" ht="18.75">
      <c r="A43" s="3">
        <v>10</v>
      </c>
      <c r="B43" s="16" t="s">
        <v>26</v>
      </c>
      <c r="C43" s="6"/>
      <c r="D43" s="138" t="s">
        <v>19</v>
      </c>
      <c r="E43" s="139"/>
      <c r="F43" s="138" t="s">
        <v>19</v>
      </c>
      <c r="G43" s="139"/>
      <c r="H43" s="138" t="s">
        <v>19</v>
      </c>
      <c r="I43" s="139"/>
      <c r="J43" s="138" t="s">
        <v>19</v>
      </c>
      <c r="K43" s="139"/>
    </row>
  </sheetData>
  <sheetProtection/>
  <mergeCells count="63">
    <mergeCell ref="F41:G41"/>
    <mergeCell ref="H41:I41"/>
    <mergeCell ref="J41:K41"/>
    <mergeCell ref="D43:E43"/>
    <mergeCell ref="F43:G43"/>
    <mergeCell ref="H43:I43"/>
    <mergeCell ref="J43:K43"/>
    <mergeCell ref="J39:K39"/>
    <mergeCell ref="D40:E40"/>
    <mergeCell ref="F40:G40"/>
    <mergeCell ref="H40:I40"/>
    <mergeCell ref="J40:K40"/>
    <mergeCell ref="D42:E42"/>
    <mergeCell ref="F42:G42"/>
    <mergeCell ref="H42:I42"/>
    <mergeCell ref="J42:K42"/>
    <mergeCell ref="D41:E41"/>
    <mergeCell ref="A28:C28"/>
    <mergeCell ref="F28:K28"/>
    <mergeCell ref="A30:K30"/>
    <mergeCell ref="A31:K31"/>
    <mergeCell ref="H33:I33"/>
    <mergeCell ref="J38:K38"/>
    <mergeCell ref="F15:G15"/>
    <mergeCell ref="D14:E14"/>
    <mergeCell ref="F14:G14"/>
    <mergeCell ref="J12:K12"/>
    <mergeCell ref="A32:A33"/>
    <mergeCell ref="B32:B33"/>
    <mergeCell ref="D32:I32"/>
    <mergeCell ref="J32:K33"/>
    <mergeCell ref="D33:E33"/>
    <mergeCell ref="F33:G33"/>
    <mergeCell ref="A1:C1"/>
    <mergeCell ref="F1:K1"/>
    <mergeCell ref="A2:C2"/>
    <mergeCell ref="F2:K2"/>
    <mergeCell ref="A27:C27"/>
    <mergeCell ref="F27:K27"/>
    <mergeCell ref="H7:I7"/>
    <mergeCell ref="A4:K4"/>
    <mergeCell ref="A5:K5"/>
    <mergeCell ref="A6:A7"/>
    <mergeCell ref="H16:I16"/>
    <mergeCell ref="B6:B7"/>
    <mergeCell ref="D6:I6"/>
    <mergeCell ref="J6:K7"/>
    <mergeCell ref="D7:E7"/>
    <mergeCell ref="F7:G7"/>
    <mergeCell ref="H15:I15"/>
    <mergeCell ref="J15:K15"/>
    <mergeCell ref="H14:I14"/>
    <mergeCell ref="J14:K14"/>
    <mergeCell ref="J16:K16"/>
    <mergeCell ref="D15:E15"/>
    <mergeCell ref="C6:C7"/>
    <mergeCell ref="J13:K13"/>
    <mergeCell ref="H17:I17"/>
    <mergeCell ref="J17:K17"/>
    <mergeCell ref="D16:E16"/>
    <mergeCell ref="D17:E17"/>
    <mergeCell ref="F17:G17"/>
    <mergeCell ref="F16:G1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E1" sqref="E1"/>
    </sheetView>
  </sheetViews>
  <sheetFormatPr defaultColWidth="8.796875" defaultRowHeight="15"/>
  <cols>
    <col min="1" max="1" width="5.69921875" style="0" bestFit="1" customWidth="1"/>
    <col min="2" max="2" width="27.09765625" style="0" bestFit="1" customWidth="1"/>
    <col min="3" max="3" width="6.19921875" style="0" bestFit="1" customWidth="1"/>
    <col min="4" max="4" width="6.19921875" style="0" customWidth="1"/>
    <col min="5" max="5" width="7" style="0" bestFit="1" customWidth="1"/>
    <col min="6" max="6" width="7.8984375" style="0" bestFit="1" customWidth="1"/>
    <col min="7" max="7" width="7" style="0" bestFit="1" customWidth="1"/>
    <col min="8" max="9" width="7" style="0" customWidth="1"/>
    <col min="10" max="10" width="6.59765625" style="0" customWidth="1"/>
    <col min="11" max="11" width="7" style="0" bestFit="1" customWidth="1"/>
    <col min="12" max="13" width="7" style="0" customWidth="1"/>
    <col min="14" max="14" width="8.59765625" style="0" customWidth="1"/>
    <col min="15" max="15" width="7" style="0" bestFit="1" customWidth="1"/>
  </cols>
  <sheetData>
    <row r="1" spans="1:15" ht="18.75" customHeight="1">
      <c r="A1" s="141" t="s">
        <v>20</v>
      </c>
      <c r="B1" s="141"/>
      <c r="C1" s="141"/>
      <c r="F1" s="141" t="s">
        <v>22</v>
      </c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8.75">
      <c r="A2" s="142" t="s">
        <v>21</v>
      </c>
      <c r="B2" s="142"/>
      <c r="C2" s="142"/>
      <c r="F2" s="141" t="s">
        <v>23</v>
      </c>
      <c r="G2" s="141"/>
      <c r="H2" s="141"/>
      <c r="I2" s="141"/>
      <c r="J2" s="141"/>
      <c r="K2" s="141"/>
      <c r="L2" s="141"/>
      <c r="M2" s="141"/>
      <c r="N2" s="141"/>
      <c r="O2" s="141"/>
    </row>
    <row r="4" spans="1:15" ht="20.25">
      <c r="A4" s="140" t="s">
        <v>45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ht="27" customHeight="1">
      <c r="A5" s="140" t="s">
        <v>37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s="18" customFormat="1" ht="18.75">
      <c r="A6" s="143" t="s">
        <v>0</v>
      </c>
      <c r="B6" s="154" t="s">
        <v>1</v>
      </c>
      <c r="C6" s="158" t="s">
        <v>32</v>
      </c>
      <c r="D6" s="157" t="s">
        <v>2</v>
      </c>
      <c r="E6" s="157"/>
      <c r="F6" s="157"/>
      <c r="G6" s="157"/>
      <c r="H6" s="157"/>
      <c r="I6" s="157"/>
      <c r="J6" s="157"/>
      <c r="K6" s="157"/>
      <c r="L6" s="146" t="s">
        <v>43</v>
      </c>
      <c r="M6" s="147"/>
      <c r="N6" s="150" t="s">
        <v>29</v>
      </c>
      <c r="O6" s="151"/>
    </row>
    <row r="7" spans="1:15" s="18" customFormat="1" ht="17.25" customHeight="1">
      <c r="A7" s="144"/>
      <c r="B7" s="155"/>
      <c r="C7" s="159"/>
      <c r="D7" s="160" t="s">
        <v>33</v>
      </c>
      <c r="E7" s="161"/>
      <c r="F7" s="160" t="s">
        <v>39</v>
      </c>
      <c r="G7" s="161"/>
      <c r="H7" s="160" t="s">
        <v>41</v>
      </c>
      <c r="I7" s="161"/>
      <c r="J7" s="160" t="s">
        <v>40</v>
      </c>
      <c r="K7" s="161"/>
      <c r="L7" s="160" t="s">
        <v>42</v>
      </c>
      <c r="M7" s="161"/>
      <c r="N7" s="152"/>
      <c r="O7" s="153"/>
    </row>
    <row r="8" spans="1:15" ht="24.75" customHeight="1">
      <c r="A8" s="3">
        <v>1</v>
      </c>
      <c r="B8" s="16" t="s">
        <v>3</v>
      </c>
      <c r="C8" s="25">
        <v>5.7</v>
      </c>
      <c r="D8" s="25">
        <v>5.1</v>
      </c>
      <c r="E8" s="13">
        <f>D8/C8</f>
        <v>0.894736842105263</v>
      </c>
      <c r="F8" s="25">
        <v>6.65</v>
      </c>
      <c r="G8" s="13">
        <f>F8/D8</f>
        <v>1.3039215686274512</v>
      </c>
      <c r="H8" s="25">
        <f>8.29*1</f>
        <v>8.29</v>
      </c>
      <c r="I8" s="13">
        <f>H8/F8</f>
        <v>1.2466165413533832</v>
      </c>
      <c r="J8" s="25">
        <f>5/9*12</f>
        <v>6.666666666666667</v>
      </c>
      <c r="K8" s="13">
        <f>J8/H8</f>
        <v>0.8041817450743869</v>
      </c>
      <c r="L8" s="25">
        <f>J8*1.08</f>
        <v>7.200000000000001</v>
      </c>
      <c r="M8" s="13">
        <f>L8/J8</f>
        <v>1.08</v>
      </c>
      <c r="N8" s="22">
        <f>(D8+F8+H8+J8+L8)/5</f>
        <v>6.781333333333333</v>
      </c>
      <c r="O8" s="27">
        <f>(E8+G8+I8+K8+M8)/5</f>
        <v>1.0658913394320968</v>
      </c>
    </row>
    <row r="9" spans="1:15" ht="24.75" customHeight="1">
      <c r="A9" s="3">
        <v>2</v>
      </c>
      <c r="B9" s="16" t="s">
        <v>4</v>
      </c>
      <c r="C9" s="25">
        <v>730</v>
      </c>
      <c r="D9" s="25">
        <v>746</v>
      </c>
      <c r="E9" s="13">
        <f>D9/C9</f>
        <v>1.021917808219178</v>
      </c>
      <c r="F9" s="25">
        <v>1099</v>
      </c>
      <c r="G9" s="13">
        <f>F9/D9</f>
        <v>1.4731903485254692</v>
      </c>
      <c r="H9" s="25">
        <f>1188*1</f>
        <v>1188</v>
      </c>
      <c r="I9" s="13">
        <f>H9/F9</f>
        <v>1.08098271155596</v>
      </c>
      <c r="J9" s="25">
        <f>900/9*12</f>
        <v>1200</v>
      </c>
      <c r="K9" s="13">
        <f>J9/H9</f>
        <v>1.0101010101010102</v>
      </c>
      <c r="L9" s="25">
        <f>J9*1.05</f>
        <v>1260</v>
      </c>
      <c r="M9" s="13">
        <f>L9/J9</f>
        <v>1.05</v>
      </c>
      <c r="N9" s="22">
        <f aca="true" t="shared" si="0" ref="N9:O11">(D9+F9+H9+J9+L9)/5</f>
        <v>1098.6</v>
      </c>
      <c r="O9" s="27">
        <f t="shared" si="0"/>
        <v>1.1272383756803235</v>
      </c>
    </row>
    <row r="10" spans="1:15" ht="24.75" customHeight="1">
      <c r="A10" s="3">
        <v>3</v>
      </c>
      <c r="B10" s="16" t="s">
        <v>5</v>
      </c>
      <c r="C10" s="25">
        <v>317</v>
      </c>
      <c r="D10" s="25">
        <v>251</v>
      </c>
      <c r="E10" s="13">
        <f>D10/C10</f>
        <v>0.7917981072555205</v>
      </c>
      <c r="F10" s="25">
        <v>280</v>
      </c>
      <c r="G10" s="13">
        <f>F10/D10</f>
        <v>1.1155378486055776</v>
      </c>
      <c r="H10" s="25">
        <v>300</v>
      </c>
      <c r="I10" s="13">
        <f>H10/F10</f>
        <v>1.0714285714285714</v>
      </c>
      <c r="J10" s="25">
        <v>330</v>
      </c>
      <c r="K10" s="13">
        <f>J10/H10</f>
        <v>1.1</v>
      </c>
      <c r="L10" s="25">
        <f>J10*1.1</f>
        <v>363.00000000000006</v>
      </c>
      <c r="M10" s="13">
        <f>L10/J10</f>
        <v>1.1</v>
      </c>
      <c r="N10" s="22">
        <f t="shared" si="0"/>
        <v>304.8</v>
      </c>
      <c r="O10" s="27">
        <f t="shared" si="0"/>
        <v>1.0357529054579337</v>
      </c>
    </row>
    <row r="11" spans="1:15" ht="24.75" customHeight="1">
      <c r="A11" s="3">
        <v>4</v>
      </c>
      <c r="B11" s="16" t="s">
        <v>6</v>
      </c>
      <c r="C11" s="25">
        <v>3.8</v>
      </c>
      <c r="D11" s="25">
        <v>3.24</v>
      </c>
      <c r="E11" s="13">
        <f>D11/C11</f>
        <v>0.8526315789473685</v>
      </c>
      <c r="F11" s="25">
        <v>3.86</v>
      </c>
      <c r="G11" s="13">
        <f>F11/D11</f>
        <v>1.191358024691358</v>
      </c>
      <c r="H11" s="25">
        <v>4.16</v>
      </c>
      <c r="I11" s="13">
        <f>H11/F11</f>
        <v>1.077720207253886</v>
      </c>
      <c r="J11" s="25">
        <v>4.65</v>
      </c>
      <c r="K11" s="13">
        <f>J11/H11</f>
        <v>1.1177884615384617</v>
      </c>
      <c r="L11" s="25">
        <f>J11*1.1</f>
        <v>5.115000000000001</v>
      </c>
      <c r="M11" s="13">
        <f>L11/J11</f>
        <v>1.1</v>
      </c>
      <c r="N11" s="22">
        <f t="shared" si="0"/>
        <v>4.205</v>
      </c>
      <c r="O11" s="27">
        <f t="shared" si="0"/>
        <v>1.0678996544862147</v>
      </c>
    </row>
    <row r="12" spans="1:15" ht="18.75">
      <c r="A12" s="3">
        <v>5</v>
      </c>
      <c r="B12" s="16" t="s">
        <v>27</v>
      </c>
      <c r="C12" s="25">
        <v>5.7</v>
      </c>
      <c r="D12" s="25">
        <v>3.1</v>
      </c>
      <c r="E12" s="25"/>
      <c r="F12" s="25">
        <v>2</v>
      </c>
      <c r="G12" s="20"/>
      <c r="H12" s="25">
        <v>5</v>
      </c>
      <c r="I12" s="21"/>
      <c r="J12" s="26">
        <v>8.8</v>
      </c>
      <c r="K12" s="21"/>
      <c r="L12" s="26">
        <v>9</v>
      </c>
      <c r="M12" s="21"/>
      <c r="N12" s="148">
        <f>(D12+F12+H12+J12+L12)</f>
        <v>27.9</v>
      </c>
      <c r="O12" s="149"/>
    </row>
    <row r="13" spans="1:15" ht="24.75" customHeight="1">
      <c r="A13" s="9">
        <v>6</v>
      </c>
      <c r="B13" s="17" t="s">
        <v>28</v>
      </c>
      <c r="C13" s="25">
        <v>15</v>
      </c>
      <c r="D13" s="25">
        <v>4</v>
      </c>
      <c r="E13" s="25"/>
      <c r="F13" s="25">
        <v>7</v>
      </c>
      <c r="G13" s="20"/>
      <c r="H13" s="25">
        <v>6.75</v>
      </c>
      <c r="I13" s="20"/>
      <c r="J13" s="25">
        <v>3.36</v>
      </c>
      <c r="K13" s="20"/>
      <c r="L13" s="25">
        <v>4</v>
      </c>
      <c r="M13" s="20"/>
      <c r="N13" s="148">
        <f>(C13+D13+F13+H13+J13+L13)</f>
        <v>40.11</v>
      </c>
      <c r="O13" s="149"/>
    </row>
    <row r="14" spans="1:15" ht="30.75" customHeight="1">
      <c r="A14" s="3">
        <v>7</v>
      </c>
      <c r="B14" s="16" t="s">
        <v>15</v>
      </c>
      <c r="C14" s="6"/>
      <c r="D14" s="138" t="s">
        <v>18</v>
      </c>
      <c r="E14" s="139"/>
      <c r="F14" s="138" t="s">
        <v>18</v>
      </c>
      <c r="G14" s="139"/>
      <c r="H14" s="24"/>
      <c r="I14" s="24"/>
      <c r="J14" s="138" t="s">
        <v>18</v>
      </c>
      <c r="K14" s="139"/>
      <c r="L14" s="24"/>
      <c r="M14" s="24"/>
      <c r="N14" s="138" t="s">
        <v>18</v>
      </c>
      <c r="O14" s="139"/>
    </row>
    <row r="15" spans="1:15" ht="24.75" customHeight="1">
      <c r="A15" s="3">
        <v>8</v>
      </c>
      <c r="B15" s="16" t="s">
        <v>16</v>
      </c>
      <c r="C15" s="6"/>
      <c r="D15" s="138" t="s">
        <v>19</v>
      </c>
      <c r="E15" s="139"/>
      <c r="F15" s="138" t="s">
        <v>19</v>
      </c>
      <c r="G15" s="139"/>
      <c r="H15" s="24"/>
      <c r="I15" s="24"/>
      <c r="J15" s="138" t="s">
        <v>19</v>
      </c>
      <c r="K15" s="139"/>
      <c r="L15" s="24"/>
      <c r="M15" s="24"/>
      <c r="N15" s="138" t="s">
        <v>19</v>
      </c>
      <c r="O15" s="139"/>
    </row>
    <row r="16" spans="1:15" ht="24.75" customHeight="1">
      <c r="A16" s="3">
        <v>9</v>
      </c>
      <c r="B16" s="16" t="s">
        <v>17</v>
      </c>
      <c r="C16" s="6"/>
      <c r="D16" s="138" t="s">
        <v>19</v>
      </c>
      <c r="E16" s="139"/>
      <c r="F16" s="138" t="s">
        <v>19</v>
      </c>
      <c r="G16" s="139"/>
      <c r="H16" s="24"/>
      <c r="I16" s="24"/>
      <c r="J16" s="138" t="s">
        <v>19</v>
      </c>
      <c r="K16" s="139"/>
      <c r="L16" s="24"/>
      <c r="M16" s="24"/>
      <c r="N16" s="138" t="s">
        <v>19</v>
      </c>
      <c r="O16" s="139"/>
    </row>
    <row r="17" spans="1:15" ht="24.75" customHeight="1">
      <c r="A17" s="3">
        <v>10</v>
      </c>
      <c r="B17" s="16" t="s">
        <v>44</v>
      </c>
      <c r="C17" s="6"/>
      <c r="D17" s="138" t="s">
        <v>19</v>
      </c>
      <c r="E17" s="139"/>
      <c r="F17" s="138" t="s">
        <v>19</v>
      </c>
      <c r="G17" s="139"/>
      <c r="H17" s="24"/>
      <c r="I17" s="24"/>
      <c r="J17" s="138" t="s">
        <v>19</v>
      </c>
      <c r="K17" s="139"/>
      <c r="L17" s="24"/>
      <c r="M17" s="24"/>
      <c r="N17" s="138" t="s">
        <v>19</v>
      </c>
      <c r="O17" s="139"/>
    </row>
    <row r="18" ht="24.75" customHeight="1"/>
    <row r="19" ht="24.75" customHeight="1"/>
  </sheetData>
  <sheetProtection/>
  <mergeCells count="35">
    <mergeCell ref="A1:C1"/>
    <mergeCell ref="F1:O1"/>
    <mergeCell ref="A2:C2"/>
    <mergeCell ref="F2:O2"/>
    <mergeCell ref="A4:O4"/>
    <mergeCell ref="A5:O5"/>
    <mergeCell ref="A6:A7"/>
    <mergeCell ref="B6:B7"/>
    <mergeCell ref="C6:C7"/>
    <mergeCell ref="D6:K6"/>
    <mergeCell ref="L6:M6"/>
    <mergeCell ref="N6:O7"/>
    <mergeCell ref="D7:E7"/>
    <mergeCell ref="F7:G7"/>
    <mergeCell ref="H7:I7"/>
    <mergeCell ref="J7:K7"/>
    <mergeCell ref="J16:K16"/>
    <mergeCell ref="N16:O16"/>
    <mergeCell ref="L7:M7"/>
    <mergeCell ref="N12:O12"/>
    <mergeCell ref="N13:O13"/>
    <mergeCell ref="D17:E17"/>
    <mergeCell ref="F17:G17"/>
    <mergeCell ref="J17:K17"/>
    <mergeCell ref="N17:O17"/>
    <mergeCell ref="D14:E14"/>
    <mergeCell ref="F14:G14"/>
    <mergeCell ref="J14:K14"/>
    <mergeCell ref="N14:O14"/>
    <mergeCell ref="D16:E16"/>
    <mergeCell ref="F16:G16"/>
    <mergeCell ref="D15:E15"/>
    <mergeCell ref="F15:G15"/>
    <mergeCell ref="J15:K15"/>
    <mergeCell ref="N15:O15"/>
  </mergeCells>
  <printOptions horizontalCentered="1"/>
  <pageMargins left="0.5" right="0.5" top="0.39" bottom="0.43" header="0.18" footer="0.16"/>
  <pageSetup horizontalDpi="300" verticalDpi="300"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F32" sqref="F32"/>
    </sheetView>
  </sheetViews>
  <sheetFormatPr defaultColWidth="8.796875" defaultRowHeight="15"/>
  <cols>
    <col min="1" max="1" width="4.69921875" style="102" bestFit="1" customWidth="1"/>
    <col min="2" max="2" width="40" style="103" customWidth="1"/>
    <col min="3" max="3" width="10.8984375" style="102" bestFit="1" customWidth="1"/>
    <col min="4" max="4" width="9.09765625" style="102" bestFit="1" customWidth="1"/>
    <col min="5" max="5" width="18.69921875" style="102" bestFit="1" customWidth="1"/>
    <col min="6" max="6" width="15.59765625" style="105" bestFit="1" customWidth="1"/>
    <col min="7" max="7" width="15.59765625" style="105" customWidth="1"/>
    <col min="8" max="8" width="14.8984375" style="104" customWidth="1"/>
    <col min="9" max="16384" width="9" style="104" customWidth="1"/>
  </cols>
  <sheetData>
    <row r="1" spans="1:8" s="28" customFormat="1" ht="15.75" customHeight="1">
      <c r="A1" s="167" t="s">
        <v>20</v>
      </c>
      <c r="B1" s="167"/>
      <c r="D1" s="29"/>
      <c r="E1" s="168" t="s">
        <v>30</v>
      </c>
      <c r="F1" s="168"/>
      <c r="G1" s="168"/>
      <c r="H1" s="168"/>
    </row>
    <row r="2" spans="1:8" s="28" customFormat="1" ht="15.75" customHeight="1">
      <c r="A2" s="168" t="s">
        <v>46</v>
      </c>
      <c r="B2" s="168"/>
      <c r="D2" s="29"/>
      <c r="E2" s="168" t="s">
        <v>47</v>
      </c>
      <c r="F2" s="168"/>
      <c r="G2" s="168"/>
      <c r="H2" s="168"/>
    </row>
    <row r="3" spans="1:7" s="28" customFormat="1" ht="15.75">
      <c r="A3" s="30"/>
      <c r="B3" s="31"/>
      <c r="C3" s="32"/>
      <c r="D3" s="32"/>
      <c r="E3" s="32"/>
      <c r="F3" s="33"/>
      <c r="G3" s="33"/>
    </row>
    <row r="4" spans="1:7" s="34" customFormat="1" ht="20.25">
      <c r="A4" s="170" t="s">
        <v>121</v>
      </c>
      <c r="B4" s="170"/>
      <c r="C4" s="170"/>
      <c r="D4" s="170"/>
      <c r="E4" s="170"/>
      <c r="F4" s="170"/>
      <c r="G4" s="170"/>
    </row>
    <row r="5" spans="1:7" s="34" customFormat="1" ht="20.25">
      <c r="A5" s="171" t="s">
        <v>130</v>
      </c>
      <c r="B5" s="171"/>
      <c r="C5" s="171"/>
      <c r="D5" s="171"/>
      <c r="E5" s="171"/>
      <c r="F5" s="171"/>
      <c r="G5" s="171"/>
    </row>
    <row r="6" spans="1:7" s="38" customFormat="1" ht="16.5">
      <c r="A6" s="35"/>
      <c r="B6" s="36"/>
      <c r="C6" s="37"/>
      <c r="D6" s="37"/>
      <c r="E6" s="37"/>
      <c r="F6" s="172" t="s">
        <v>48</v>
      </c>
      <c r="G6" s="172"/>
    </row>
    <row r="7" spans="1:8" s="41" customFormat="1" ht="66">
      <c r="A7" s="39" t="s">
        <v>0</v>
      </c>
      <c r="B7" s="39" t="s">
        <v>49</v>
      </c>
      <c r="C7" s="39" t="s">
        <v>50</v>
      </c>
      <c r="D7" s="39" t="s">
        <v>51</v>
      </c>
      <c r="E7" s="39" t="s">
        <v>52</v>
      </c>
      <c r="F7" s="40" t="s">
        <v>119</v>
      </c>
      <c r="G7" s="40" t="s">
        <v>120</v>
      </c>
      <c r="H7" s="39" t="s">
        <v>53</v>
      </c>
    </row>
    <row r="8" spans="1:8" s="46" customFormat="1" ht="33">
      <c r="A8" s="39" t="s">
        <v>54</v>
      </c>
      <c r="B8" s="42" t="s">
        <v>55</v>
      </c>
      <c r="C8" s="43"/>
      <c r="D8" s="43"/>
      <c r="E8" s="44"/>
      <c r="F8" s="45">
        <f>SUM(F9:F13)</f>
        <v>173000000</v>
      </c>
      <c r="G8" s="45">
        <f>SUM(G9:G13)</f>
        <v>865000000</v>
      </c>
      <c r="H8" s="39"/>
    </row>
    <row r="9" spans="1:8" s="52" customFormat="1" ht="33">
      <c r="A9" s="47">
        <v>1</v>
      </c>
      <c r="B9" s="48" t="s">
        <v>56</v>
      </c>
      <c r="C9" s="49" t="s">
        <v>57</v>
      </c>
      <c r="D9" s="44">
        <v>4</v>
      </c>
      <c r="E9" s="44" t="s">
        <v>58</v>
      </c>
      <c r="F9" s="50">
        <f>5000000*D9</f>
        <v>20000000</v>
      </c>
      <c r="G9" s="50">
        <f>F9*5</f>
        <v>100000000</v>
      </c>
      <c r="H9" s="51" t="s">
        <v>59</v>
      </c>
    </row>
    <row r="10" spans="1:8" s="57" customFormat="1" ht="16.5">
      <c r="A10" s="47">
        <v>2</v>
      </c>
      <c r="B10" s="53" t="s">
        <v>60</v>
      </c>
      <c r="C10" s="49"/>
      <c r="D10" s="54"/>
      <c r="E10" s="55"/>
      <c r="F10" s="50"/>
      <c r="G10" s="50"/>
      <c r="H10" s="56"/>
    </row>
    <row r="11" spans="1:8" s="57" customFormat="1" ht="25.5">
      <c r="A11" s="58" t="s">
        <v>61</v>
      </c>
      <c r="B11" s="59" t="s">
        <v>62</v>
      </c>
      <c r="C11" s="49" t="s">
        <v>63</v>
      </c>
      <c r="D11" s="44">
        <f>15*6</f>
        <v>90</v>
      </c>
      <c r="E11" s="44" t="s">
        <v>64</v>
      </c>
      <c r="F11" s="60">
        <f>500000*D11</f>
        <v>45000000</v>
      </c>
      <c r="G11" s="50">
        <f>F11*5</f>
        <v>225000000</v>
      </c>
      <c r="H11" s="51" t="s">
        <v>59</v>
      </c>
    </row>
    <row r="12" spans="1:8" s="57" customFormat="1" ht="31.5">
      <c r="A12" s="58" t="s">
        <v>65</v>
      </c>
      <c r="B12" s="59" t="s">
        <v>66</v>
      </c>
      <c r="C12" s="49" t="s">
        <v>67</v>
      </c>
      <c r="D12" s="44">
        <v>6</v>
      </c>
      <c r="E12" s="44" t="s">
        <v>68</v>
      </c>
      <c r="F12" s="50">
        <f>15000000*D12</f>
        <v>90000000</v>
      </c>
      <c r="G12" s="50">
        <f>F12*5</f>
        <v>450000000</v>
      </c>
      <c r="H12" s="51" t="s">
        <v>59</v>
      </c>
    </row>
    <row r="13" spans="1:8" s="52" customFormat="1" ht="31.5">
      <c r="A13" s="44">
        <v>3</v>
      </c>
      <c r="B13" s="59" t="s">
        <v>137</v>
      </c>
      <c r="C13" s="49" t="s">
        <v>67</v>
      </c>
      <c r="D13" s="44">
        <v>3</v>
      </c>
      <c r="E13" s="44" t="s">
        <v>69</v>
      </c>
      <c r="F13" s="50">
        <f>6000000*D13</f>
        <v>18000000</v>
      </c>
      <c r="G13" s="50">
        <f>F13*5</f>
        <v>90000000</v>
      </c>
      <c r="H13" s="51" t="s">
        <v>59</v>
      </c>
    </row>
    <row r="14" spans="1:8" s="46" customFormat="1" ht="21" customHeight="1">
      <c r="A14" s="39" t="s">
        <v>70</v>
      </c>
      <c r="B14" s="61" t="s">
        <v>71</v>
      </c>
      <c r="C14" s="62"/>
      <c r="D14" s="62"/>
      <c r="E14" s="63"/>
      <c r="F14" s="45">
        <f>SUM(F15:F17)</f>
        <v>222000000</v>
      </c>
      <c r="G14" s="45">
        <f>SUM(G15:G17)</f>
        <v>1110000000</v>
      </c>
      <c r="H14" s="64"/>
    </row>
    <row r="15" spans="1:8" s="52" customFormat="1" ht="31.5">
      <c r="A15" s="44">
        <v>1</v>
      </c>
      <c r="B15" s="59" t="s">
        <v>135</v>
      </c>
      <c r="C15" s="44" t="s">
        <v>72</v>
      </c>
      <c r="D15" s="44">
        <v>3000</v>
      </c>
      <c r="E15" s="44" t="s">
        <v>73</v>
      </c>
      <c r="F15" s="50">
        <f>10000*D15</f>
        <v>30000000</v>
      </c>
      <c r="G15" s="50">
        <f>F15*5</f>
        <v>150000000</v>
      </c>
      <c r="H15" s="51" t="s">
        <v>59</v>
      </c>
    </row>
    <row r="16" spans="1:8" s="52" customFormat="1" ht="31.5">
      <c r="A16" s="44">
        <v>2</v>
      </c>
      <c r="B16" s="59" t="s">
        <v>166</v>
      </c>
      <c r="C16" s="44" t="s">
        <v>74</v>
      </c>
      <c r="D16" s="44">
        <v>2000</v>
      </c>
      <c r="E16" s="44" t="s">
        <v>75</v>
      </c>
      <c r="F16" s="50">
        <f>30000*D16</f>
        <v>60000000</v>
      </c>
      <c r="G16" s="50">
        <f>F16*5</f>
        <v>300000000</v>
      </c>
      <c r="H16" s="51" t="s">
        <v>59</v>
      </c>
    </row>
    <row r="17" spans="1:8" s="52" customFormat="1" ht="47.25">
      <c r="A17" s="44">
        <v>3</v>
      </c>
      <c r="B17" s="59" t="s">
        <v>136</v>
      </c>
      <c r="C17" s="44" t="s">
        <v>76</v>
      </c>
      <c r="D17" s="44">
        <f>2*20*11</f>
        <v>440</v>
      </c>
      <c r="E17" s="44" t="s">
        <v>77</v>
      </c>
      <c r="F17" s="50">
        <f>300000*D17</f>
        <v>132000000</v>
      </c>
      <c r="G17" s="50">
        <f>F17*5</f>
        <v>660000000</v>
      </c>
      <c r="H17" s="51" t="s">
        <v>59</v>
      </c>
    </row>
    <row r="18" spans="1:8" s="52" customFormat="1" ht="33">
      <c r="A18" s="39" t="s">
        <v>78</v>
      </c>
      <c r="B18" s="42" t="s">
        <v>79</v>
      </c>
      <c r="C18" s="54"/>
      <c r="D18" s="65"/>
      <c r="E18" s="66"/>
      <c r="F18" s="45">
        <f>SUM(F19:F19)</f>
        <v>59160000</v>
      </c>
      <c r="G18" s="45">
        <f>SUM(G19:G19)</f>
        <v>295800000</v>
      </c>
      <c r="H18" s="67"/>
    </row>
    <row r="19" spans="1:8" s="52" customFormat="1" ht="56.25" customHeight="1">
      <c r="A19" s="68">
        <v>1</v>
      </c>
      <c r="B19" s="69" t="s">
        <v>80</v>
      </c>
      <c r="C19" s="65" t="s">
        <v>67</v>
      </c>
      <c r="D19" s="65">
        <v>2</v>
      </c>
      <c r="E19" s="49" t="s">
        <v>129</v>
      </c>
      <c r="F19" s="70">
        <f>F20*D19</f>
        <v>59160000</v>
      </c>
      <c r="G19" s="50">
        <f>F19*5</f>
        <v>295800000</v>
      </c>
      <c r="H19" s="51" t="s">
        <v>82</v>
      </c>
    </row>
    <row r="20" spans="1:8" s="52" customFormat="1" ht="33">
      <c r="A20" s="73"/>
      <c r="B20" s="74" t="s">
        <v>83</v>
      </c>
      <c r="C20" s="75"/>
      <c r="D20" s="75"/>
      <c r="E20" s="76"/>
      <c r="F20" s="77">
        <f>SUM(F21:F28)</f>
        <v>29580000</v>
      </c>
      <c r="G20" s="77"/>
      <c r="H20" s="173" t="s">
        <v>82</v>
      </c>
    </row>
    <row r="21" spans="1:8" s="52" customFormat="1" ht="33">
      <c r="A21" s="78"/>
      <c r="B21" s="74" t="s">
        <v>84</v>
      </c>
      <c r="C21" s="75" t="s">
        <v>85</v>
      </c>
      <c r="D21" s="75">
        <v>20</v>
      </c>
      <c r="E21" s="76">
        <v>157000</v>
      </c>
      <c r="F21" s="77">
        <f aca="true" t="shared" si="0" ref="F21:F28">D21*E21</f>
        <v>3140000</v>
      </c>
      <c r="G21" s="77"/>
      <c r="H21" s="174"/>
    </row>
    <row r="22" spans="1:8" s="52" customFormat="1" ht="41.25" customHeight="1">
      <c r="A22" s="78"/>
      <c r="B22" s="74" t="s">
        <v>86</v>
      </c>
      <c r="C22" s="75" t="s">
        <v>87</v>
      </c>
      <c r="D22" s="75">
        <v>100</v>
      </c>
      <c r="E22" s="76">
        <v>75000</v>
      </c>
      <c r="F22" s="77">
        <f t="shared" si="0"/>
        <v>7500000</v>
      </c>
      <c r="G22" s="77"/>
      <c r="H22" s="174"/>
    </row>
    <row r="23" spans="1:8" s="52" customFormat="1" ht="16.5">
      <c r="A23" s="78"/>
      <c r="B23" s="74" t="s">
        <v>88</v>
      </c>
      <c r="C23" s="75" t="s">
        <v>89</v>
      </c>
      <c r="D23" s="75">
        <v>2</v>
      </c>
      <c r="E23" s="76">
        <v>3500000</v>
      </c>
      <c r="F23" s="77">
        <f t="shared" si="0"/>
        <v>7000000</v>
      </c>
      <c r="G23" s="77"/>
      <c r="H23" s="174"/>
    </row>
    <row r="24" spans="1:8" s="52" customFormat="1" ht="16.5">
      <c r="A24" s="78"/>
      <c r="B24" s="74" t="s">
        <v>90</v>
      </c>
      <c r="C24" s="75" t="s">
        <v>91</v>
      </c>
      <c r="D24" s="75">
        <v>4</v>
      </c>
      <c r="E24" s="76">
        <v>500000</v>
      </c>
      <c r="F24" s="77">
        <f t="shared" si="0"/>
        <v>2000000</v>
      </c>
      <c r="G24" s="77"/>
      <c r="H24" s="174"/>
    </row>
    <row r="25" spans="1:8" s="52" customFormat="1" ht="33">
      <c r="A25" s="78"/>
      <c r="B25" s="74" t="s">
        <v>92</v>
      </c>
      <c r="C25" s="75" t="s">
        <v>93</v>
      </c>
      <c r="D25" s="75">
        <v>2</v>
      </c>
      <c r="E25" s="76">
        <v>900000</v>
      </c>
      <c r="F25" s="77">
        <f t="shared" si="0"/>
        <v>1800000</v>
      </c>
      <c r="G25" s="77"/>
      <c r="H25" s="174"/>
    </row>
    <row r="26" spans="1:8" s="52" customFormat="1" ht="33">
      <c r="A26" s="78"/>
      <c r="B26" s="74" t="s">
        <v>94</v>
      </c>
      <c r="C26" s="75" t="s">
        <v>95</v>
      </c>
      <c r="D26" s="75">
        <v>8</v>
      </c>
      <c r="E26" s="76">
        <v>80000</v>
      </c>
      <c r="F26" s="77">
        <f t="shared" si="0"/>
        <v>640000</v>
      </c>
      <c r="G26" s="77"/>
      <c r="H26" s="174"/>
    </row>
    <row r="27" spans="1:8" s="52" customFormat="1" ht="16.5">
      <c r="A27" s="78"/>
      <c r="B27" s="74" t="s">
        <v>96</v>
      </c>
      <c r="C27" s="75" t="s">
        <v>72</v>
      </c>
      <c r="D27" s="75">
        <v>50</v>
      </c>
      <c r="E27" s="76">
        <v>30000</v>
      </c>
      <c r="F27" s="77">
        <f t="shared" si="0"/>
        <v>1500000</v>
      </c>
      <c r="G27" s="77"/>
      <c r="H27" s="174"/>
    </row>
    <row r="28" spans="1:8" s="52" customFormat="1" ht="33">
      <c r="A28" s="78"/>
      <c r="B28" s="74" t="s">
        <v>97</v>
      </c>
      <c r="C28" s="75" t="s">
        <v>87</v>
      </c>
      <c r="D28" s="75">
        <v>200</v>
      </c>
      <c r="E28" s="76">
        <v>30000</v>
      </c>
      <c r="F28" s="77">
        <f t="shared" si="0"/>
        <v>6000000</v>
      </c>
      <c r="G28" s="77"/>
      <c r="H28" s="174"/>
    </row>
    <row r="29" spans="1:8" s="52" customFormat="1" ht="33">
      <c r="A29" s="39" t="s">
        <v>98</v>
      </c>
      <c r="B29" s="61" t="s">
        <v>99</v>
      </c>
      <c r="C29" s="79"/>
      <c r="D29" s="65"/>
      <c r="E29" s="80"/>
      <c r="F29" s="45">
        <f>SUM(F30:F31)</f>
        <v>600000000</v>
      </c>
      <c r="G29" s="45">
        <f>SUM(G30:G31)</f>
        <v>3000000000</v>
      </c>
      <c r="H29" s="81"/>
    </row>
    <row r="30" spans="1:8" s="52" customFormat="1" ht="66">
      <c r="A30" s="71">
        <v>1</v>
      </c>
      <c r="B30" s="72" t="s">
        <v>164</v>
      </c>
      <c r="C30" s="65" t="s">
        <v>100</v>
      </c>
      <c r="D30" s="65">
        <v>10</v>
      </c>
      <c r="E30" s="49" t="s">
        <v>101</v>
      </c>
      <c r="F30" s="70">
        <f>30000000*D30</f>
        <v>300000000</v>
      </c>
      <c r="G30" s="50">
        <f>F30*5</f>
        <v>1500000000</v>
      </c>
      <c r="H30" s="163" t="s">
        <v>82</v>
      </c>
    </row>
    <row r="31" spans="1:8" s="52" customFormat="1" ht="66">
      <c r="A31" s="71">
        <v>2</v>
      </c>
      <c r="B31" s="72" t="s">
        <v>165</v>
      </c>
      <c r="C31" s="65" t="s">
        <v>102</v>
      </c>
      <c r="D31" s="65">
        <v>10</v>
      </c>
      <c r="E31" s="49" t="s">
        <v>103</v>
      </c>
      <c r="F31" s="70">
        <f>30000000*D31</f>
        <v>300000000</v>
      </c>
      <c r="G31" s="50">
        <f>F31*5</f>
        <v>1500000000</v>
      </c>
      <c r="H31" s="164"/>
    </row>
    <row r="32" spans="1:8" s="52" customFormat="1" ht="33">
      <c r="A32" s="39" t="s">
        <v>98</v>
      </c>
      <c r="B32" s="61" t="s">
        <v>104</v>
      </c>
      <c r="C32" s="79"/>
      <c r="D32" s="79"/>
      <c r="E32" s="80"/>
      <c r="F32" s="45">
        <f>SUM(F33:F36)</f>
        <v>155233560</v>
      </c>
      <c r="G32" s="45">
        <f>SUM(G33:G36)</f>
        <v>776167800</v>
      </c>
      <c r="H32" s="81"/>
    </row>
    <row r="33" spans="1:8" s="46" customFormat="1" ht="74.25" customHeight="1">
      <c r="A33" s="83">
        <v>1</v>
      </c>
      <c r="B33" s="48" t="s">
        <v>105</v>
      </c>
      <c r="C33" s="79" t="s">
        <v>81</v>
      </c>
      <c r="D33" s="79">
        <v>20</v>
      </c>
      <c r="E33" s="51" t="s">
        <v>106</v>
      </c>
      <c r="F33" s="50">
        <f>2786745*D33</f>
        <v>55734900</v>
      </c>
      <c r="G33" s="50">
        <f>F33*5</f>
        <v>278674500</v>
      </c>
      <c r="H33" s="163" t="s">
        <v>82</v>
      </c>
    </row>
    <row r="34" spans="1:8" s="46" customFormat="1" ht="70.5" customHeight="1">
      <c r="A34" s="43">
        <v>2</v>
      </c>
      <c r="B34" s="48" t="s">
        <v>107</v>
      </c>
      <c r="C34" s="79" t="s">
        <v>67</v>
      </c>
      <c r="D34" s="79">
        <v>20</v>
      </c>
      <c r="E34" s="51" t="s">
        <v>106</v>
      </c>
      <c r="F34" s="50">
        <f>2786745*D34</f>
        <v>55734900</v>
      </c>
      <c r="G34" s="50">
        <f>F34*5</f>
        <v>278674500</v>
      </c>
      <c r="H34" s="165"/>
    </row>
    <row r="35" spans="1:8" s="46" customFormat="1" ht="38.25">
      <c r="A35" s="43">
        <v>3</v>
      </c>
      <c r="B35" s="48" t="s">
        <v>108</v>
      </c>
      <c r="C35" s="84" t="s">
        <v>85</v>
      </c>
      <c r="D35" s="84">
        <f>2*10*12</f>
        <v>240</v>
      </c>
      <c r="E35" s="51" t="s">
        <v>109</v>
      </c>
      <c r="F35" s="85">
        <f>(157349*D35)</f>
        <v>37763760</v>
      </c>
      <c r="G35" s="50">
        <f>F35*5</f>
        <v>188818800</v>
      </c>
      <c r="H35" s="165"/>
    </row>
    <row r="36" spans="1:8" s="88" customFormat="1" ht="23.25" customHeight="1">
      <c r="A36" s="83">
        <v>4</v>
      </c>
      <c r="B36" s="48" t="s">
        <v>110</v>
      </c>
      <c r="C36" s="84" t="s">
        <v>111</v>
      </c>
      <c r="D36" s="84">
        <f>10*6</f>
        <v>60</v>
      </c>
      <c r="E36" s="86" t="s">
        <v>112</v>
      </c>
      <c r="F36" s="85">
        <f>100000*D36</f>
        <v>6000000</v>
      </c>
      <c r="G36" s="50">
        <f>F36*5</f>
        <v>30000000</v>
      </c>
      <c r="H36" s="87"/>
    </row>
    <row r="37" spans="1:8" s="93" customFormat="1" ht="16.5">
      <c r="A37" s="89"/>
      <c r="B37" s="90" t="s">
        <v>113</v>
      </c>
      <c r="C37" s="54"/>
      <c r="D37" s="54"/>
      <c r="E37" s="62" t="s">
        <v>114</v>
      </c>
      <c r="F37" s="91">
        <f>F8+F14+F18+F29+F32</f>
        <v>1209393560</v>
      </c>
      <c r="G37" s="91">
        <f>G8+G14+G18+G29+G32</f>
        <v>6046967800</v>
      </c>
      <c r="H37" s="64"/>
    </row>
    <row r="38" spans="1:8" s="93" customFormat="1" ht="16.5">
      <c r="A38" s="90"/>
      <c r="B38" s="90" t="s">
        <v>115</v>
      </c>
      <c r="C38" s="54"/>
      <c r="D38" s="54"/>
      <c r="E38" s="54"/>
      <c r="F38" s="91">
        <f>ROUND((F37),-4)</f>
        <v>1209390000</v>
      </c>
      <c r="G38" s="91">
        <f>ROUND((G37),-4)</f>
        <v>6046970000</v>
      </c>
      <c r="H38" s="92"/>
    </row>
    <row r="39" spans="1:7" s="94" customFormat="1" ht="17.25">
      <c r="A39" s="166"/>
      <c r="B39" s="166"/>
      <c r="C39" s="166"/>
      <c r="D39" s="166"/>
      <c r="E39" s="166"/>
      <c r="F39" s="166"/>
      <c r="G39" s="166"/>
    </row>
    <row r="40" spans="1:8" s="94" customFormat="1" ht="16.5">
      <c r="A40" s="95"/>
      <c r="B40" s="96"/>
      <c r="C40" s="95"/>
      <c r="D40" s="97"/>
      <c r="E40" s="169" t="s">
        <v>169</v>
      </c>
      <c r="F40" s="169"/>
      <c r="G40" s="169"/>
      <c r="H40" s="169"/>
    </row>
    <row r="41" spans="1:8" s="101" customFormat="1" ht="16.5">
      <c r="A41" s="98"/>
      <c r="B41" s="99" t="s">
        <v>116</v>
      </c>
      <c r="C41" s="100"/>
      <c r="D41" s="100"/>
      <c r="E41" s="162" t="s">
        <v>117</v>
      </c>
      <c r="F41" s="162"/>
      <c r="G41" s="162"/>
      <c r="H41" s="162"/>
    </row>
    <row r="42" spans="5:7" ht="16.5">
      <c r="E42" s="162"/>
      <c r="F42" s="162"/>
      <c r="G42" s="162"/>
    </row>
    <row r="44" ht="31.5" customHeight="1"/>
    <row r="47" spans="2:8" ht="16.5">
      <c r="B47" s="99"/>
      <c r="C47" s="97"/>
      <c r="D47" s="97"/>
      <c r="E47" s="162" t="s">
        <v>118</v>
      </c>
      <c r="F47" s="162"/>
      <c r="G47" s="162"/>
      <c r="H47" s="162"/>
    </row>
    <row r="49" spans="2:7" ht="16.5">
      <c r="B49" s="162"/>
      <c r="C49" s="162"/>
      <c r="D49" s="162"/>
      <c r="E49" s="162"/>
      <c r="F49" s="162"/>
      <c r="G49" s="99"/>
    </row>
    <row r="50" spans="2:7" ht="16.5">
      <c r="B50" s="162"/>
      <c r="C50" s="162"/>
      <c r="D50" s="162"/>
      <c r="E50" s="162"/>
      <c r="F50" s="162"/>
      <c r="G50" s="99"/>
    </row>
  </sheetData>
  <sheetProtection/>
  <mergeCells count="17">
    <mergeCell ref="B50:F50"/>
    <mergeCell ref="A1:B1"/>
    <mergeCell ref="A2:B2"/>
    <mergeCell ref="E40:H40"/>
    <mergeCell ref="E1:H1"/>
    <mergeCell ref="E2:H2"/>
    <mergeCell ref="A4:G4"/>
    <mergeCell ref="A5:G5"/>
    <mergeCell ref="F6:G6"/>
    <mergeCell ref="H20:H28"/>
    <mergeCell ref="E42:G42"/>
    <mergeCell ref="E47:H47"/>
    <mergeCell ref="B49:F49"/>
    <mergeCell ref="H30:H31"/>
    <mergeCell ref="H33:H35"/>
    <mergeCell ref="A39:G39"/>
    <mergeCell ref="E41:H41"/>
  </mergeCells>
  <printOptions horizontalCentered="1"/>
  <pageMargins left="0.25" right="0.25" top="0.5" bottom="0.5" header="0.25" footer="0.2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19921875" style="1" customWidth="1"/>
    <col min="2" max="2" width="1" style="1" customWidth="1"/>
    <col min="3" max="3" width="25" style="1" customWidth="1"/>
    <col min="4" max="16384" width="7.09765625" style="1" customWidth="1"/>
  </cols>
  <sheetData>
    <row r="1" spans="1:3" ht="17.25">
      <c r="A1" s="2"/>
      <c r="C1" s="2"/>
    </row>
    <row r="2" ht="18" thickBot="1">
      <c r="A2" s="2"/>
    </row>
    <row r="3" spans="1:3" ht="18" thickBot="1">
      <c r="A3" s="2"/>
      <c r="C3" s="2"/>
    </row>
    <row r="4" spans="1:3" ht="17.25">
      <c r="A4" s="2"/>
      <c r="C4" s="2"/>
    </row>
    <row r="5" ht="17.25">
      <c r="C5" s="2"/>
    </row>
    <row r="6" ht="18" thickBot="1">
      <c r="C6" s="2"/>
    </row>
    <row r="7" spans="1:3" ht="17.25">
      <c r="A7" s="2"/>
      <c r="C7" s="2"/>
    </row>
    <row r="8" spans="1:3" ht="17.25">
      <c r="A8" s="2"/>
      <c r="C8" s="2"/>
    </row>
    <row r="9" spans="1:3" ht="17.25">
      <c r="A9" s="2"/>
      <c r="C9" s="2"/>
    </row>
    <row r="10" spans="1:3" ht="17.25">
      <c r="A10" s="2"/>
      <c r="C10" s="2"/>
    </row>
    <row r="11" spans="1:3" ht="18" thickBot="1">
      <c r="A11" s="2"/>
      <c r="C11" s="2"/>
    </row>
    <row r="12" ht="17.25">
      <c r="C12" s="2"/>
    </row>
    <row r="13" ht="18" thickBot="1">
      <c r="C13" s="2"/>
    </row>
    <row r="14" spans="1:3" ht="18" thickBot="1">
      <c r="A14" s="2"/>
      <c r="C14" s="2"/>
    </row>
    <row r="15" ht="17.25">
      <c r="A15" s="2"/>
    </row>
    <row r="16" ht="18" thickBot="1">
      <c r="A16" s="2"/>
    </row>
    <row r="17" spans="1:3" ht="18" thickBot="1">
      <c r="A17" s="2"/>
      <c r="C17" s="2"/>
    </row>
    <row r="18" ht="17.25">
      <c r="C18" s="2"/>
    </row>
    <row r="19" ht="17.25">
      <c r="C19" s="2"/>
    </row>
    <row r="20" spans="1:3" ht="17.25">
      <c r="A20" s="2"/>
      <c r="C20" s="2"/>
    </row>
    <row r="21" spans="1:3" ht="17.25">
      <c r="A21" s="2"/>
      <c r="C21" s="2"/>
    </row>
    <row r="22" spans="1:3" ht="17.25">
      <c r="A22" s="2"/>
      <c r="C22" s="2"/>
    </row>
    <row r="23" spans="1:3" ht="17.25">
      <c r="A23" s="2"/>
      <c r="C23" s="2"/>
    </row>
    <row r="24" ht="17.25">
      <c r="A24" s="2"/>
    </row>
    <row r="25" ht="17.25">
      <c r="A25" s="2"/>
    </row>
    <row r="26" spans="1:3" ht="18" thickBot="1">
      <c r="A26" s="2"/>
      <c r="C26" s="2"/>
    </row>
    <row r="27" spans="1:3" ht="17.25">
      <c r="A27" s="2"/>
      <c r="C27" s="2"/>
    </row>
    <row r="28" spans="1:3" ht="17.25">
      <c r="A28" s="2"/>
      <c r="C28" s="2"/>
    </row>
    <row r="29" spans="1:3" ht="17.25">
      <c r="A29" s="2"/>
      <c r="C29" s="2"/>
    </row>
    <row r="30" spans="1:3" ht="17.25">
      <c r="A30" s="2"/>
      <c r="C30" s="2"/>
    </row>
    <row r="31" spans="1:3" ht="17.25">
      <c r="A31" s="2"/>
      <c r="C31" s="2"/>
    </row>
    <row r="32" spans="1:3" ht="17.25">
      <c r="A32" s="2"/>
      <c r="C32" s="2"/>
    </row>
    <row r="33" spans="1:3" ht="17.25">
      <c r="A33" s="2"/>
      <c r="C33" s="2"/>
    </row>
    <row r="34" spans="1:3" ht="17.25">
      <c r="A34" s="2"/>
      <c r="C34" s="2"/>
    </row>
    <row r="35" spans="1:3" ht="17.25">
      <c r="A35" s="2"/>
      <c r="C35" s="2"/>
    </row>
    <row r="36" spans="1:3" ht="17.25">
      <c r="A36" s="2"/>
      <c r="C36" s="2"/>
    </row>
    <row r="37" ht="17.25">
      <c r="A37" s="2"/>
    </row>
    <row r="38" ht="17.25">
      <c r="A38" s="2"/>
    </row>
    <row r="39" spans="1:3" ht="17.25">
      <c r="A39" s="2"/>
      <c r="C39" s="2"/>
    </row>
    <row r="40" spans="1:3" ht="17.25">
      <c r="A40" s="2"/>
      <c r="C40" s="2"/>
    </row>
    <row r="41" spans="1:3" ht="17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4">
      <selection activeCell="G28" sqref="G28"/>
    </sheetView>
  </sheetViews>
  <sheetFormatPr defaultColWidth="8.796875" defaultRowHeight="15"/>
  <cols>
    <col min="1" max="1" width="4.69921875" style="102" bestFit="1" customWidth="1"/>
    <col min="2" max="2" width="40" style="103" customWidth="1"/>
    <col min="3" max="3" width="10.8984375" style="102" bestFit="1" customWidth="1"/>
    <col min="4" max="4" width="9.09765625" style="102" bestFit="1" customWidth="1"/>
    <col min="5" max="5" width="18.69921875" style="102" bestFit="1" customWidth="1"/>
    <col min="6" max="6" width="15.59765625" style="105" bestFit="1" customWidth="1"/>
    <col min="7" max="7" width="15.59765625" style="105" customWidth="1"/>
    <col min="8" max="8" width="14.8984375" style="104" customWidth="1"/>
    <col min="9" max="16384" width="9" style="104" customWidth="1"/>
  </cols>
  <sheetData>
    <row r="1" spans="1:8" s="28" customFormat="1" ht="15.75" customHeight="1">
      <c r="A1" s="167" t="s">
        <v>20</v>
      </c>
      <c r="B1" s="167"/>
      <c r="D1" s="29"/>
      <c r="E1" s="168" t="s">
        <v>30</v>
      </c>
      <c r="F1" s="168"/>
      <c r="G1" s="168"/>
      <c r="H1" s="168"/>
    </row>
    <row r="2" spans="1:8" s="28" customFormat="1" ht="15.75" customHeight="1">
      <c r="A2" s="168" t="s">
        <v>46</v>
      </c>
      <c r="B2" s="168"/>
      <c r="D2" s="29"/>
      <c r="E2" s="168" t="s">
        <v>47</v>
      </c>
      <c r="F2" s="168"/>
      <c r="G2" s="168"/>
      <c r="H2" s="168"/>
    </row>
    <row r="3" spans="1:7" s="28" customFormat="1" ht="15.75">
      <c r="A3" s="30"/>
      <c r="B3" s="31"/>
      <c r="C3" s="32"/>
      <c r="D3" s="32"/>
      <c r="E3" s="32"/>
      <c r="F3" s="33"/>
      <c r="G3" s="33"/>
    </row>
    <row r="4" spans="1:8" s="34" customFormat="1" ht="20.25">
      <c r="A4" s="170" t="s">
        <v>122</v>
      </c>
      <c r="B4" s="170"/>
      <c r="C4" s="170"/>
      <c r="D4" s="170"/>
      <c r="E4" s="170"/>
      <c r="F4" s="170"/>
      <c r="G4" s="170"/>
      <c r="H4" s="170"/>
    </row>
    <row r="5" spans="1:8" s="34" customFormat="1" ht="20.25" customHeight="1">
      <c r="A5" s="171" t="s">
        <v>131</v>
      </c>
      <c r="B5" s="171"/>
      <c r="C5" s="171"/>
      <c r="D5" s="171"/>
      <c r="E5" s="171"/>
      <c r="F5" s="171"/>
      <c r="G5" s="171"/>
      <c r="H5" s="171"/>
    </row>
    <row r="6" spans="1:8" s="38" customFormat="1" ht="11.25" customHeight="1">
      <c r="A6" s="35"/>
      <c r="B6" s="36"/>
      <c r="C6" s="37"/>
      <c r="D6" s="37"/>
      <c r="E6" s="37"/>
      <c r="F6" s="172" t="s">
        <v>48</v>
      </c>
      <c r="G6" s="172"/>
      <c r="H6" s="172"/>
    </row>
    <row r="7" spans="1:8" s="41" customFormat="1" ht="66">
      <c r="A7" s="39" t="s">
        <v>0</v>
      </c>
      <c r="B7" s="39" t="s">
        <v>49</v>
      </c>
      <c r="C7" s="39" t="s">
        <v>50</v>
      </c>
      <c r="D7" s="39" t="s">
        <v>51</v>
      </c>
      <c r="E7" s="39" t="s">
        <v>52</v>
      </c>
      <c r="F7" s="40" t="s">
        <v>119</v>
      </c>
      <c r="G7" s="40" t="s">
        <v>120</v>
      </c>
      <c r="H7" s="39" t="s">
        <v>53</v>
      </c>
    </row>
    <row r="8" spans="1:8" s="46" customFormat="1" ht="33">
      <c r="A8" s="39" t="s">
        <v>54</v>
      </c>
      <c r="B8" s="42" t="s">
        <v>55</v>
      </c>
      <c r="C8" s="43"/>
      <c r="D8" s="43"/>
      <c r="E8" s="44"/>
      <c r="F8" s="45">
        <f>SUM(F9:F12)</f>
        <v>155000000</v>
      </c>
      <c r="G8" s="45">
        <f>SUM(G9:G12)</f>
        <v>775000000</v>
      </c>
      <c r="H8" s="39"/>
    </row>
    <row r="9" spans="1:8" s="52" customFormat="1" ht="33">
      <c r="A9" s="47">
        <v>1</v>
      </c>
      <c r="B9" s="48" t="s">
        <v>56</v>
      </c>
      <c r="C9" s="49" t="s">
        <v>57</v>
      </c>
      <c r="D9" s="44">
        <v>4</v>
      </c>
      <c r="E9" s="44" t="s">
        <v>58</v>
      </c>
      <c r="F9" s="50">
        <f>5000000*D9</f>
        <v>20000000</v>
      </c>
      <c r="G9" s="50">
        <f>F9*5</f>
        <v>100000000</v>
      </c>
      <c r="H9" s="51" t="s">
        <v>59</v>
      </c>
    </row>
    <row r="10" spans="1:8" s="57" customFormat="1" ht="16.5">
      <c r="A10" s="47">
        <v>2</v>
      </c>
      <c r="B10" s="53" t="s">
        <v>60</v>
      </c>
      <c r="C10" s="49"/>
      <c r="D10" s="54"/>
      <c r="E10" s="55"/>
      <c r="F10" s="50"/>
      <c r="G10" s="50"/>
      <c r="H10" s="56"/>
    </row>
    <row r="11" spans="1:8" s="57" customFormat="1" ht="25.5">
      <c r="A11" s="58" t="s">
        <v>61</v>
      </c>
      <c r="B11" s="59" t="s">
        <v>62</v>
      </c>
      <c r="C11" s="49" t="s">
        <v>63</v>
      </c>
      <c r="D11" s="44">
        <f>15*6</f>
        <v>90</v>
      </c>
      <c r="E11" s="44" t="s">
        <v>64</v>
      </c>
      <c r="F11" s="60">
        <f>500000*D11</f>
        <v>45000000</v>
      </c>
      <c r="G11" s="50">
        <f>F11*5</f>
        <v>225000000</v>
      </c>
      <c r="H11" s="51" t="s">
        <v>59</v>
      </c>
    </row>
    <row r="12" spans="1:8" s="57" customFormat="1" ht="31.5">
      <c r="A12" s="58" t="s">
        <v>65</v>
      </c>
      <c r="B12" s="59" t="s">
        <v>66</v>
      </c>
      <c r="C12" s="49" t="s">
        <v>67</v>
      </c>
      <c r="D12" s="44">
        <v>6</v>
      </c>
      <c r="E12" s="44" t="s">
        <v>68</v>
      </c>
      <c r="F12" s="50">
        <f>15000000*D12</f>
        <v>90000000</v>
      </c>
      <c r="G12" s="50">
        <f>F12*5</f>
        <v>450000000</v>
      </c>
      <c r="H12" s="51" t="s">
        <v>59</v>
      </c>
    </row>
    <row r="13" spans="1:8" s="46" customFormat="1" ht="21" customHeight="1">
      <c r="A13" s="39" t="s">
        <v>70</v>
      </c>
      <c r="B13" s="61" t="s">
        <v>71</v>
      </c>
      <c r="C13" s="62"/>
      <c r="D13" s="62"/>
      <c r="E13" s="63"/>
      <c r="F13" s="45">
        <f>SUM(F14:F15)</f>
        <v>90000000</v>
      </c>
      <c r="G13" s="45">
        <f>SUM(G14:G15)</f>
        <v>450000000</v>
      </c>
      <c r="H13" s="64"/>
    </row>
    <row r="14" spans="1:8" s="52" customFormat="1" ht="31.5">
      <c r="A14" s="44">
        <v>1</v>
      </c>
      <c r="B14" s="59" t="s">
        <v>125</v>
      </c>
      <c r="C14" s="44" t="s">
        <v>72</v>
      </c>
      <c r="D14" s="44">
        <v>3000</v>
      </c>
      <c r="E14" s="44" t="s">
        <v>73</v>
      </c>
      <c r="F14" s="50">
        <f>10000*D14</f>
        <v>30000000</v>
      </c>
      <c r="G14" s="50">
        <f>F14*5</f>
        <v>150000000</v>
      </c>
      <c r="H14" s="51" t="s">
        <v>59</v>
      </c>
    </row>
    <row r="15" spans="1:8" s="52" customFormat="1" ht="31.5">
      <c r="A15" s="44">
        <v>2</v>
      </c>
      <c r="B15" s="59" t="s">
        <v>132</v>
      </c>
      <c r="C15" s="44" t="s">
        <v>74</v>
      </c>
      <c r="D15" s="44">
        <v>2000</v>
      </c>
      <c r="E15" s="44" t="s">
        <v>75</v>
      </c>
      <c r="F15" s="50">
        <f>30000*D15</f>
        <v>60000000</v>
      </c>
      <c r="G15" s="50">
        <f>F15*5</f>
        <v>300000000</v>
      </c>
      <c r="H15" s="51" t="s">
        <v>59</v>
      </c>
    </row>
    <row r="16" spans="1:8" s="52" customFormat="1" ht="33">
      <c r="A16" s="39" t="s">
        <v>78</v>
      </c>
      <c r="B16" s="42" t="s">
        <v>79</v>
      </c>
      <c r="C16" s="54"/>
      <c r="D16" s="65"/>
      <c r="E16" s="66"/>
      <c r="F16" s="45">
        <f>SUM(F17:F17)</f>
        <v>59160000</v>
      </c>
      <c r="G16" s="45">
        <f>SUM(G17:G17)</f>
        <v>295800000</v>
      </c>
      <c r="H16" s="67"/>
    </row>
    <row r="17" spans="1:8" s="52" customFormat="1" ht="49.5">
      <c r="A17" s="68">
        <v>1</v>
      </c>
      <c r="B17" s="69" t="s">
        <v>126</v>
      </c>
      <c r="C17" s="65" t="s">
        <v>67</v>
      </c>
      <c r="D17" s="65">
        <v>2</v>
      </c>
      <c r="E17" s="49" t="s">
        <v>129</v>
      </c>
      <c r="F17" s="70">
        <f>F18*D17</f>
        <v>59160000</v>
      </c>
      <c r="G17" s="50">
        <f>F17*5</f>
        <v>295800000</v>
      </c>
      <c r="H17" s="51" t="s">
        <v>82</v>
      </c>
    </row>
    <row r="18" spans="1:8" s="52" customFormat="1" ht="33">
      <c r="A18" s="73"/>
      <c r="B18" s="74" t="s">
        <v>83</v>
      </c>
      <c r="C18" s="75"/>
      <c r="D18" s="75"/>
      <c r="E18" s="76"/>
      <c r="F18" s="77">
        <f>SUM(F19:F26)</f>
        <v>29580000</v>
      </c>
      <c r="G18" s="77"/>
      <c r="H18" s="173" t="s">
        <v>82</v>
      </c>
    </row>
    <row r="19" spans="1:8" s="52" customFormat="1" ht="33">
      <c r="A19" s="78"/>
      <c r="B19" s="74" t="s">
        <v>124</v>
      </c>
      <c r="C19" s="75" t="s">
        <v>85</v>
      </c>
      <c r="D19" s="75">
        <v>20</v>
      </c>
      <c r="E19" s="76">
        <v>157000</v>
      </c>
      <c r="F19" s="77">
        <f aca="true" t="shared" si="0" ref="F19:F26">D19*E19</f>
        <v>3140000</v>
      </c>
      <c r="G19" s="77"/>
      <c r="H19" s="174"/>
    </row>
    <row r="20" spans="1:8" s="52" customFormat="1" ht="41.25" customHeight="1">
      <c r="A20" s="78"/>
      <c r="B20" s="74" t="s">
        <v>86</v>
      </c>
      <c r="C20" s="75" t="s">
        <v>87</v>
      </c>
      <c r="D20" s="75">
        <v>100</v>
      </c>
      <c r="E20" s="76">
        <v>75000</v>
      </c>
      <c r="F20" s="77">
        <f t="shared" si="0"/>
        <v>7500000</v>
      </c>
      <c r="G20" s="77"/>
      <c r="H20" s="174"/>
    </row>
    <row r="21" spans="1:8" s="52" customFormat="1" ht="16.5">
      <c r="A21" s="78"/>
      <c r="B21" s="74" t="s">
        <v>88</v>
      </c>
      <c r="C21" s="75" t="s">
        <v>89</v>
      </c>
      <c r="D21" s="75">
        <v>2</v>
      </c>
      <c r="E21" s="76">
        <v>3500000</v>
      </c>
      <c r="F21" s="77">
        <f t="shared" si="0"/>
        <v>7000000</v>
      </c>
      <c r="G21" s="77"/>
      <c r="H21" s="174"/>
    </row>
    <row r="22" spans="1:8" s="52" customFormat="1" ht="16.5">
      <c r="A22" s="78"/>
      <c r="B22" s="74" t="s">
        <v>90</v>
      </c>
      <c r="C22" s="75" t="s">
        <v>91</v>
      </c>
      <c r="D22" s="75">
        <v>4</v>
      </c>
      <c r="E22" s="76">
        <v>500000</v>
      </c>
      <c r="F22" s="77">
        <f t="shared" si="0"/>
        <v>2000000</v>
      </c>
      <c r="G22" s="77"/>
      <c r="H22" s="174"/>
    </row>
    <row r="23" spans="1:8" s="52" customFormat="1" ht="33">
      <c r="A23" s="78"/>
      <c r="B23" s="74" t="s">
        <v>92</v>
      </c>
      <c r="C23" s="75" t="s">
        <v>93</v>
      </c>
      <c r="D23" s="75">
        <v>2</v>
      </c>
      <c r="E23" s="76">
        <v>900000</v>
      </c>
      <c r="F23" s="77">
        <f t="shared" si="0"/>
        <v>1800000</v>
      </c>
      <c r="G23" s="77"/>
      <c r="H23" s="174"/>
    </row>
    <row r="24" spans="1:8" s="52" customFormat="1" ht="33">
      <c r="A24" s="78"/>
      <c r="B24" s="74" t="s">
        <v>94</v>
      </c>
      <c r="C24" s="75" t="s">
        <v>95</v>
      </c>
      <c r="D24" s="75">
        <v>8</v>
      </c>
      <c r="E24" s="76">
        <v>80000</v>
      </c>
      <c r="F24" s="77">
        <f t="shared" si="0"/>
        <v>640000</v>
      </c>
      <c r="G24" s="77"/>
      <c r="H24" s="174"/>
    </row>
    <row r="25" spans="1:8" s="52" customFormat="1" ht="16.5">
      <c r="A25" s="78"/>
      <c r="B25" s="74" t="s">
        <v>96</v>
      </c>
      <c r="C25" s="75" t="s">
        <v>72</v>
      </c>
      <c r="D25" s="75">
        <v>50</v>
      </c>
      <c r="E25" s="76">
        <v>30000</v>
      </c>
      <c r="F25" s="77">
        <f t="shared" si="0"/>
        <v>1500000</v>
      </c>
      <c r="G25" s="77"/>
      <c r="H25" s="174"/>
    </row>
    <row r="26" spans="1:8" s="52" customFormat="1" ht="33">
      <c r="A26" s="78"/>
      <c r="B26" s="74" t="s">
        <v>133</v>
      </c>
      <c r="C26" s="75" t="s">
        <v>87</v>
      </c>
      <c r="D26" s="75">
        <v>200</v>
      </c>
      <c r="E26" s="76">
        <v>30000</v>
      </c>
      <c r="F26" s="77">
        <f t="shared" si="0"/>
        <v>6000000</v>
      </c>
      <c r="G26" s="77"/>
      <c r="H26" s="174"/>
    </row>
    <row r="27" spans="1:8" s="52" customFormat="1" ht="16.5">
      <c r="A27" s="39" t="s">
        <v>98</v>
      </c>
      <c r="B27" s="61" t="s">
        <v>128</v>
      </c>
      <c r="C27" s="79"/>
      <c r="D27" s="65"/>
      <c r="E27" s="80"/>
      <c r="F27" s="45">
        <f>SUM(F28:F28)</f>
        <v>500000000</v>
      </c>
      <c r="G27" s="45">
        <f>SUM(G28:G28)</f>
        <v>5000000000</v>
      </c>
      <c r="H27" s="81"/>
    </row>
    <row r="28" spans="1:8" s="52" customFormat="1" ht="47.25">
      <c r="A28" s="71">
        <v>1</v>
      </c>
      <c r="B28" s="72" t="s">
        <v>167</v>
      </c>
      <c r="C28" s="65" t="s">
        <v>127</v>
      </c>
      <c r="D28" s="65">
        <v>10</v>
      </c>
      <c r="E28" s="49" t="s">
        <v>123</v>
      </c>
      <c r="F28" s="70">
        <f>50000000*D28</f>
        <v>500000000</v>
      </c>
      <c r="G28" s="50">
        <f>F28*5*2</f>
        <v>5000000000</v>
      </c>
      <c r="H28" s="106" t="s">
        <v>82</v>
      </c>
    </row>
    <row r="29" spans="1:8" s="52" customFormat="1" ht="16.5">
      <c r="A29" s="39" t="s">
        <v>98</v>
      </c>
      <c r="B29" s="61" t="s">
        <v>168</v>
      </c>
      <c r="C29" s="79"/>
      <c r="D29" s="79"/>
      <c r="E29" s="80"/>
      <c r="F29" s="45">
        <f>SUM(F30:F31)</f>
        <v>61734900</v>
      </c>
      <c r="G29" s="45">
        <f>SUM(G30:G31)</f>
        <v>308674500</v>
      </c>
      <c r="H29" s="81"/>
    </row>
    <row r="30" spans="1:8" s="46" customFormat="1" ht="63.75">
      <c r="A30" s="83">
        <v>1</v>
      </c>
      <c r="B30" s="48" t="s">
        <v>134</v>
      </c>
      <c r="C30" s="79" t="s">
        <v>81</v>
      </c>
      <c r="D30" s="79">
        <v>20</v>
      </c>
      <c r="E30" s="51" t="s">
        <v>106</v>
      </c>
      <c r="F30" s="50">
        <f>2786745*D30</f>
        <v>55734900</v>
      </c>
      <c r="G30" s="50">
        <f>F30*5</f>
        <v>278674500</v>
      </c>
      <c r="H30" s="82" t="s">
        <v>82</v>
      </c>
    </row>
    <row r="31" spans="1:8" s="88" customFormat="1" ht="23.25" customHeight="1">
      <c r="A31" s="83">
        <v>2</v>
      </c>
      <c r="B31" s="48" t="s">
        <v>110</v>
      </c>
      <c r="C31" s="84" t="s">
        <v>111</v>
      </c>
      <c r="D31" s="84">
        <f>10*6</f>
        <v>60</v>
      </c>
      <c r="E31" s="86" t="s">
        <v>112</v>
      </c>
      <c r="F31" s="85">
        <f>100000*D31</f>
        <v>6000000</v>
      </c>
      <c r="G31" s="50">
        <f>F31*5</f>
        <v>30000000</v>
      </c>
      <c r="H31" s="87"/>
    </row>
    <row r="32" spans="1:8" s="93" customFormat="1" ht="16.5">
      <c r="A32" s="89"/>
      <c r="B32" s="90" t="s">
        <v>113</v>
      </c>
      <c r="C32" s="54"/>
      <c r="D32" s="54"/>
      <c r="E32" s="62" t="s">
        <v>114</v>
      </c>
      <c r="F32" s="91">
        <f>F8+F13+F16+F27+F29</f>
        <v>865894900</v>
      </c>
      <c r="G32" s="91">
        <f>G8+G13+G16+G27+G29</f>
        <v>6829474500</v>
      </c>
      <c r="H32" s="64"/>
    </row>
    <row r="33" spans="1:8" s="93" customFormat="1" ht="16.5">
      <c r="A33" s="90"/>
      <c r="B33" s="90" t="s">
        <v>115</v>
      </c>
      <c r="C33" s="54"/>
      <c r="D33" s="54"/>
      <c r="E33" s="54"/>
      <c r="F33" s="91">
        <f>ROUND((F32),-4)</f>
        <v>865890000</v>
      </c>
      <c r="G33" s="91">
        <f>ROUND((G32),-4)</f>
        <v>6829470000</v>
      </c>
      <c r="H33" s="92"/>
    </row>
    <row r="34" spans="1:7" s="94" customFormat="1" ht="8.25" customHeight="1">
      <c r="A34" s="166"/>
      <c r="B34" s="166"/>
      <c r="C34" s="166"/>
      <c r="D34" s="166"/>
      <c r="E34" s="166"/>
      <c r="F34" s="166"/>
      <c r="G34" s="166"/>
    </row>
    <row r="35" spans="1:7" s="94" customFormat="1" ht="16.5">
      <c r="A35" s="95"/>
      <c r="B35" s="96"/>
      <c r="C35" s="95"/>
      <c r="D35" s="97"/>
      <c r="E35" s="169" t="s">
        <v>169</v>
      </c>
      <c r="F35" s="169"/>
      <c r="G35" s="169"/>
    </row>
    <row r="36" spans="1:8" s="101" customFormat="1" ht="16.5">
      <c r="A36" s="98"/>
      <c r="B36" s="99" t="s">
        <v>116</v>
      </c>
      <c r="C36" s="100"/>
      <c r="D36" s="100"/>
      <c r="E36" s="162" t="s">
        <v>117</v>
      </c>
      <c r="F36" s="162"/>
      <c r="G36" s="162"/>
      <c r="H36" s="97"/>
    </row>
    <row r="37" spans="5:7" ht="16.5">
      <c r="E37" s="162"/>
      <c r="F37" s="162"/>
      <c r="G37" s="162"/>
    </row>
    <row r="42" spans="2:8" ht="16.5">
      <c r="B42" s="99"/>
      <c r="C42" s="97"/>
      <c r="D42" s="97"/>
      <c r="E42" s="162" t="s">
        <v>118</v>
      </c>
      <c r="F42" s="162"/>
      <c r="G42" s="162"/>
      <c r="H42" s="97"/>
    </row>
    <row r="44" spans="2:7" ht="16.5">
      <c r="B44" s="162"/>
      <c r="C44" s="162"/>
      <c r="D44" s="162"/>
      <c r="E44" s="162"/>
      <c r="F44" s="162"/>
      <c r="G44" s="99"/>
    </row>
    <row r="45" spans="2:7" ht="16.5">
      <c r="B45" s="162"/>
      <c r="C45" s="162"/>
      <c r="D45" s="162"/>
      <c r="E45" s="162"/>
      <c r="F45" s="162"/>
      <c r="G45" s="99"/>
    </row>
  </sheetData>
  <sheetProtection/>
  <mergeCells count="15">
    <mergeCell ref="E37:G37"/>
    <mergeCell ref="B44:F44"/>
    <mergeCell ref="B45:F45"/>
    <mergeCell ref="E36:G36"/>
    <mergeCell ref="E42:G42"/>
    <mergeCell ref="A34:G34"/>
    <mergeCell ref="E35:G35"/>
    <mergeCell ref="E1:H1"/>
    <mergeCell ref="E2:H2"/>
    <mergeCell ref="A1:B1"/>
    <mergeCell ref="A2:B2"/>
    <mergeCell ref="A4:H4"/>
    <mergeCell ref="A5:H5"/>
    <mergeCell ref="F6:H6"/>
    <mergeCell ref="H18:H26"/>
  </mergeCells>
  <printOptions horizontalCentered="1"/>
  <pageMargins left="0.25" right="0.25" top="0.25" bottom="0.25" header="0.25" footer="0.25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B1"/>
    </sheetView>
  </sheetViews>
  <sheetFormatPr defaultColWidth="8.796875" defaultRowHeight="15"/>
  <cols>
    <col min="1" max="1" width="4.59765625" style="108" customWidth="1"/>
    <col min="2" max="2" width="39.59765625" style="108" customWidth="1"/>
    <col min="3" max="3" width="19.3984375" style="109" bestFit="1" customWidth="1"/>
    <col min="4" max="4" width="17.5" style="109" bestFit="1" customWidth="1"/>
    <col min="5" max="5" width="21.3984375" style="108" bestFit="1" customWidth="1"/>
    <col min="6" max="6" width="17" style="108" customWidth="1"/>
    <col min="7" max="16384" width="9" style="108" customWidth="1"/>
  </cols>
  <sheetData>
    <row r="1" spans="1:6" s="28" customFormat="1" ht="15.75" customHeight="1">
      <c r="A1" s="167" t="s">
        <v>20</v>
      </c>
      <c r="B1" s="167"/>
      <c r="D1" s="168" t="s">
        <v>30</v>
      </c>
      <c r="E1" s="168"/>
      <c r="F1" s="168"/>
    </row>
    <row r="2" spans="1:6" s="28" customFormat="1" ht="15.75" customHeight="1">
      <c r="A2" s="168" t="s">
        <v>46</v>
      </c>
      <c r="B2" s="168"/>
      <c r="D2" s="168" t="s">
        <v>47</v>
      </c>
      <c r="E2" s="168"/>
      <c r="F2" s="168"/>
    </row>
    <row r="3" ht="9" customHeight="1"/>
    <row r="4" spans="1:9" ht="19.5" customHeight="1">
      <c r="A4" s="170" t="s">
        <v>161</v>
      </c>
      <c r="B4" s="170"/>
      <c r="C4" s="170"/>
      <c r="D4" s="170"/>
      <c r="E4" s="170"/>
      <c r="F4" s="170"/>
      <c r="G4" s="107"/>
      <c r="H4" s="107"/>
      <c r="I4" s="107"/>
    </row>
    <row r="5" spans="1:9" ht="18.75">
      <c r="A5" s="171" t="s">
        <v>141</v>
      </c>
      <c r="B5" s="171"/>
      <c r="C5" s="171"/>
      <c r="D5" s="171"/>
      <c r="E5" s="171"/>
      <c r="F5" s="171"/>
      <c r="G5" s="107"/>
      <c r="H5" s="107"/>
      <c r="I5" s="107"/>
    </row>
    <row r="6" spans="5:6" ht="19.5" customHeight="1">
      <c r="E6" s="177" t="s">
        <v>142</v>
      </c>
      <c r="F6" s="178"/>
    </row>
    <row r="7" spans="1:6" s="113" customFormat="1" ht="33">
      <c r="A7" s="110" t="s">
        <v>0</v>
      </c>
      <c r="B7" s="110" t="s">
        <v>143</v>
      </c>
      <c r="C7" s="111" t="s">
        <v>144</v>
      </c>
      <c r="D7" s="111" t="s">
        <v>159</v>
      </c>
      <c r="E7" s="111" t="s">
        <v>145</v>
      </c>
      <c r="F7" s="112" t="s">
        <v>146</v>
      </c>
    </row>
    <row r="8" spans="1:6" s="123" customFormat="1" ht="18.75">
      <c r="A8" s="132">
        <v>1</v>
      </c>
      <c r="B8" s="133" t="s">
        <v>147</v>
      </c>
      <c r="C8" s="134">
        <v>295727000</v>
      </c>
      <c r="D8" s="114">
        <f>C8-126000000</f>
        <v>169727000</v>
      </c>
      <c r="E8" s="114">
        <v>0</v>
      </c>
      <c r="F8" s="115"/>
    </row>
    <row r="9" spans="1:6" s="123" customFormat="1" ht="18.75">
      <c r="A9" s="47">
        <v>2</v>
      </c>
      <c r="B9" s="135" t="s">
        <v>148</v>
      </c>
      <c r="C9" s="136">
        <v>169894000</v>
      </c>
      <c r="D9" s="116">
        <f>ROUND(C9-56000000,-3)</f>
        <v>113894000</v>
      </c>
      <c r="E9" s="116">
        <v>0</v>
      </c>
      <c r="F9" s="115"/>
    </row>
    <row r="10" spans="1:6" s="123" customFormat="1" ht="35.25" customHeight="1">
      <c r="A10" s="132">
        <v>3</v>
      </c>
      <c r="B10" s="137" t="s">
        <v>149</v>
      </c>
      <c r="C10" s="117">
        <v>55000000</v>
      </c>
      <c r="D10" s="117">
        <f>C10</f>
        <v>55000000</v>
      </c>
      <c r="E10" s="117">
        <v>0</v>
      </c>
      <c r="F10" s="115"/>
    </row>
    <row r="11" spans="1:6" s="123" customFormat="1" ht="19.5" customHeight="1">
      <c r="A11" s="47">
        <v>4</v>
      </c>
      <c r="B11" s="135" t="s">
        <v>150</v>
      </c>
      <c r="C11" s="136">
        <v>8800000</v>
      </c>
      <c r="D11" s="117">
        <f>C11</f>
        <v>8800000</v>
      </c>
      <c r="E11" s="117">
        <v>0</v>
      </c>
      <c r="F11" s="115"/>
    </row>
    <row r="12" spans="1:6" s="123" customFormat="1" ht="19.5" customHeight="1">
      <c r="A12" s="132">
        <v>5</v>
      </c>
      <c r="B12" s="135" t="s">
        <v>151</v>
      </c>
      <c r="C12" s="136">
        <v>81870000</v>
      </c>
      <c r="D12" s="117">
        <f>C12</f>
        <v>81870000</v>
      </c>
      <c r="E12" s="117">
        <v>0</v>
      </c>
      <c r="F12" s="115"/>
    </row>
    <row r="13" spans="1:6" s="123" customFormat="1" ht="19.5" customHeight="1">
      <c r="A13" s="47">
        <v>6</v>
      </c>
      <c r="B13" s="135" t="s">
        <v>152</v>
      </c>
      <c r="C13" s="136">
        <v>599275000</v>
      </c>
      <c r="D13" s="117">
        <f>ROUND(C13,-3)*0.3</f>
        <v>179782500</v>
      </c>
      <c r="E13" s="117">
        <f>C13-D13</f>
        <v>419492500</v>
      </c>
      <c r="F13" s="115"/>
    </row>
    <row r="14" spans="1:6" s="123" customFormat="1" ht="19.5" customHeight="1">
      <c r="A14" s="132">
        <v>7</v>
      </c>
      <c r="B14" s="135" t="s">
        <v>153</v>
      </c>
      <c r="C14" s="136">
        <f>49137000+47925000</f>
        <v>97062000</v>
      </c>
      <c r="D14" s="117">
        <f>C14</f>
        <v>97062000</v>
      </c>
      <c r="E14" s="117">
        <f>C14-D14</f>
        <v>0</v>
      </c>
      <c r="F14" s="115"/>
    </row>
    <row r="15" spans="1:6" s="123" customFormat="1" ht="19.5" customHeight="1">
      <c r="A15" s="47">
        <v>8</v>
      </c>
      <c r="B15" s="135" t="s">
        <v>154</v>
      </c>
      <c r="C15" s="136">
        <v>845008000</v>
      </c>
      <c r="D15" s="117">
        <v>100000000</v>
      </c>
      <c r="E15" s="117">
        <v>600000000</v>
      </c>
      <c r="F15" s="115"/>
    </row>
    <row r="16" spans="1:6" s="123" customFormat="1" ht="33">
      <c r="A16" s="132">
        <v>9</v>
      </c>
      <c r="B16" s="137" t="s">
        <v>155</v>
      </c>
      <c r="C16" s="116">
        <v>2016457000</v>
      </c>
      <c r="D16" s="116">
        <f>ROUND(C16*0.3,-3)</f>
        <v>604937000</v>
      </c>
      <c r="E16" s="116">
        <f>C16-D16</f>
        <v>1411520000</v>
      </c>
      <c r="F16" s="115"/>
    </row>
    <row r="17" spans="1:6" s="123" customFormat="1" ht="16.5">
      <c r="A17" s="132">
        <v>10</v>
      </c>
      <c r="B17" s="137" t="s">
        <v>156</v>
      </c>
      <c r="C17" s="118"/>
      <c r="D17" s="119"/>
      <c r="E17" s="119">
        <v>270000000</v>
      </c>
      <c r="F17" s="120"/>
    </row>
    <row r="18" spans="1:6" s="113" customFormat="1" ht="19.5" customHeight="1">
      <c r="A18" s="121"/>
      <c r="B18" s="111" t="s">
        <v>157</v>
      </c>
      <c r="C18" s="122">
        <f>ROUND(SUM(C8:C16),-6)</f>
        <v>4169000000</v>
      </c>
      <c r="D18" s="122">
        <f>ROUND(SUM(D8:D16),-6)</f>
        <v>1411000000</v>
      </c>
      <c r="E18" s="122">
        <f>ROUND(SUM(E8:E17),-7)</f>
        <v>2700000000</v>
      </c>
      <c r="F18" s="115"/>
    </row>
    <row r="19" spans="1:6" s="123" customFormat="1" ht="9.75" customHeight="1">
      <c r="A19" s="179"/>
      <c r="B19" s="179"/>
      <c r="C19" s="179"/>
      <c r="D19" s="179"/>
      <c r="E19" s="179"/>
      <c r="F19" s="179"/>
    </row>
    <row r="20" spans="1:7" ht="18.75">
      <c r="A20"/>
      <c r="B20" s="124"/>
      <c r="C20" s="169" t="s">
        <v>170</v>
      </c>
      <c r="D20" s="169"/>
      <c r="E20" s="169"/>
      <c r="F20" s="169"/>
      <c r="G20" s="125"/>
    </row>
    <row r="21" spans="1:7" ht="18" customHeight="1">
      <c r="A21"/>
      <c r="B21" s="124" t="s">
        <v>116</v>
      </c>
      <c r="C21" s="175" t="s">
        <v>21</v>
      </c>
      <c r="D21" s="175"/>
      <c r="E21" s="175"/>
      <c r="F21" s="175"/>
      <c r="G21" s="97"/>
    </row>
    <row r="22" spans="3:6" ht="18" customHeight="1">
      <c r="C22" s="176" t="s">
        <v>158</v>
      </c>
      <c r="D22" s="176"/>
      <c r="E22" s="176"/>
      <c r="F22" s="176"/>
    </row>
    <row r="26" spans="3:6" ht="18">
      <c r="C26" s="176" t="s">
        <v>118</v>
      </c>
      <c r="D26" s="176"/>
      <c r="E26" s="176"/>
      <c r="F26" s="176"/>
    </row>
  </sheetData>
  <sheetProtection/>
  <mergeCells count="12">
    <mergeCell ref="C22:F22"/>
    <mergeCell ref="C26:F26"/>
    <mergeCell ref="A4:F4"/>
    <mergeCell ref="A5:F5"/>
    <mergeCell ref="E6:F6"/>
    <mergeCell ref="A19:F19"/>
    <mergeCell ref="A1:B1"/>
    <mergeCell ref="A2:B2"/>
    <mergeCell ref="D1:F1"/>
    <mergeCell ref="D2:F2"/>
    <mergeCell ref="C20:F20"/>
    <mergeCell ref="C21:F21"/>
  </mergeCells>
  <printOptions horizontalCentered="1"/>
  <pageMargins left="0.7" right="0.7" top="0.5" bottom="0.31" header="0.3" footer="0.17"/>
  <pageSetup horizontalDpi="600" verticalDpi="600" orientation="landscape" paperSize="9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7" sqref="B17"/>
    </sheetView>
  </sheetViews>
  <sheetFormatPr defaultColWidth="8.796875" defaultRowHeight="15"/>
  <cols>
    <col min="1" max="1" width="4.69921875" style="102" bestFit="1" customWidth="1"/>
    <col min="2" max="2" width="52.19921875" style="103" customWidth="1"/>
    <col min="3" max="3" width="18.3984375" style="105" customWidth="1"/>
    <col min="4" max="4" width="16.59765625" style="105" bestFit="1" customWidth="1"/>
    <col min="5" max="5" width="14.8984375" style="104" customWidth="1"/>
    <col min="6" max="16384" width="9" style="104" customWidth="1"/>
  </cols>
  <sheetData>
    <row r="1" spans="1:5" s="28" customFormat="1" ht="15.75" customHeight="1">
      <c r="A1" s="167" t="s">
        <v>20</v>
      </c>
      <c r="B1" s="167"/>
      <c r="C1" s="168" t="s">
        <v>30</v>
      </c>
      <c r="D1" s="168"/>
      <c r="E1" s="168"/>
    </row>
    <row r="2" spans="1:5" s="28" customFormat="1" ht="15.75" customHeight="1">
      <c r="A2" s="168" t="s">
        <v>46</v>
      </c>
      <c r="B2" s="168"/>
      <c r="C2" s="168" t="s">
        <v>47</v>
      </c>
      <c r="D2" s="168"/>
      <c r="E2" s="168"/>
    </row>
    <row r="3" spans="1:4" s="28" customFormat="1" ht="15.75">
      <c r="A3" s="30"/>
      <c r="B3" s="31"/>
      <c r="C3" s="33"/>
      <c r="D3" s="33"/>
    </row>
    <row r="4" spans="1:5" s="34" customFormat="1" ht="20.25">
      <c r="A4" s="170" t="s">
        <v>163</v>
      </c>
      <c r="B4" s="170"/>
      <c r="C4" s="170"/>
      <c r="D4" s="170"/>
      <c r="E4" s="170"/>
    </row>
    <row r="5" spans="1:5" s="34" customFormat="1" ht="20.25" customHeight="1">
      <c r="A5" s="171" t="s">
        <v>138</v>
      </c>
      <c r="B5" s="171"/>
      <c r="C5" s="171"/>
      <c r="D5" s="171"/>
      <c r="E5" s="171"/>
    </row>
    <row r="6" spans="1:5" s="38" customFormat="1" ht="16.5">
      <c r="A6" s="35"/>
      <c r="B6" s="36"/>
      <c r="C6" s="172" t="s">
        <v>48</v>
      </c>
      <c r="D6" s="172"/>
      <c r="E6" s="172"/>
    </row>
    <row r="7" spans="1:5" s="41" customFormat="1" ht="49.5">
      <c r="A7" s="39" t="s">
        <v>0</v>
      </c>
      <c r="B7" s="39" t="s">
        <v>49</v>
      </c>
      <c r="C7" s="40" t="s">
        <v>119</v>
      </c>
      <c r="D7" s="40" t="s">
        <v>120</v>
      </c>
      <c r="E7" s="39" t="s">
        <v>53</v>
      </c>
    </row>
    <row r="8" spans="1:5" s="127" customFormat="1" ht="16.5">
      <c r="A8" s="43" t="s">
        <v>54</v>
      </c>
      <c r="B8" s="126" t="s">
        <v>139</v>
      </c>
      <c r="C8" s="70">
        <f>SXSH!F38</f>
        <v>1209390000</v>
      </c>
      <c r="D8" s="70">
        <f>SXSH!G38</f>
        <v>6046970000</v>
      </c>
      <c r="E8" s="43"/>
    </row>
    <row r="9" spans="1:5" s="127" customFormat="1" ht="16.5">
      <c r="A9" s="43" t="s">
        <v>70</v>
      </c>
      <c r="B9" s="126" t="s">
        <v>140</v>
      </c>
      <c r="C9" s="70">
        <f>TKNL!F33</f>
        <v>865890000</v>
      </c>
      <c r="D9" s="70">
        <f>TKNL!G33</f>
        <v>6829470000</v>
      </c>
      <c r="E9" s="43"/>
    </row>
    <row r="10" spans="1:5" s="127" customFormat="1" ht="33">
      <c r="A10" s="83" t="s">
        <v>78</v>
      </c>
      <c r="B10" s="48" t="s">
        <v>162</v>
      </c>
      <c r="C10" s="50">
        <f>'DA TTTL'!D18</f>
        <v>1411000000</v>
      </c>
      <c r="D10" s="50">
        <f>'DA TTTL'!E18</f>
        <v>2700000000</v>
      </c>
      <c r="E10" s="130"/>
    </row>
    <row r="11" spans="1:5" s="93" customFormat="1" ht="16.5">
      <c r="A11" s="89"/>
      <c r="B11" s="90" t="s">
        <v>113</v>
      </c>
      <c r="C11" s="91">
        <f>SUM(C8:C10)</f>
        <v>3486280000</v>
      </c>
      <c r="D11" s="91">
        <f>SUM(D8:D10)</f>
        <v>15576440000</v>
      </c>
      <c r="E11" s="64"/>
    </row>
    <row r="12" spans="1:4" s="94" customFormat="1" ht="17.25">
      <c r="A12" s="131"/>
      <c r="B12" s="131"/>
      <c r="C12" s="131"/>
      <c r="D12" s="131"/>
    </row>
    <row r="13" spans="1:4" s="94" customFormat="1" ht="16.5">
      <c r="A13" s="95"/>
      <c r="B13" s="96"/>
      <c r="C13" s="169"/>
      <c r="D13" s="169"/>
    </row>
    <row r="14" spans="1:6" s="101" customFormat="1" ht="16.5">
      <c r="A14" s="98"/>
      <c r="B14" s="99" t="s">
        <v>116</v>
      </c>
      <c r="C14" s="169" t="s">
        <v>160</v>
      </c>
      <c r="D14" s="169"/>
      <c r="E14" s="169"/>
      <c r="F14" s="125"/>
    </row>
    <row r="15" spans="3:6" ht="16.5" customHeight="1">
      <c r="C15" s="175" t="s">
        <v>21</v>
      </c>
      <c r="D15" s="175"/>
      <c r="E15" s="175"/>
      <c r="F15" s="128"/>
    </row>
    <row r="16" spans="3:6" ht="16.5">
      <c r="C16" s="176" t="s">
        <v>158</v>
      </c>
      <c r="D16" s="176"/>
      <c r="E16" s="176"/>
      <c r="F16" s="129"/>
    </row>
    <row r="17" spans="3:6" ht="31.5" customHeight="1">
      <c r="C17" s="109"/>
      <c r="D17" s="109"/>
      <c r="E17" s="108"/>
      <c r="F17" s="108"/>
    </row>
    <row r="18" spans="3:6" ht="18">
      <c r="C18" s="109"/>
      <c r="D18" s="109"/>
      <c r="E18" s="108"/>
      <c r="F18" s="108"/>
    </row>
    <row r="19" spans="3:6" ht="18">
      <c r="C19" s="109"/>
      <c r="D19" s="109"/>
      <c r="E19" s="108"/>
      <c r="F19" s="108"/>
    </row>
    <row r="20" spans="2:6" ht="18">
      <c r="B20" s="99"/>
      <c r="C20" s="176" t="s">
        <v>118</v>
      </c>
      <c r="D20" s="176"/>
      <c r="E20" s="176"/>
      <c r="F20" s="108"/>
    </row>
    <row r="21" spans="3:6" ht="16.5">
      <c r="C21" s="176"/>
      <c r="D21" s="176"/>
      <c r="E21" s="176"/>
      <c r="F21" s="129"/>
    </row>
    <row r="22" spans="2:4" ht="16.5">
      <c r="B22" s="162"/>
      <c r="C22" s="162"/>
      <c r="D22" s="99"/>
    </row>
    <row r="23" spans="2:4" ht="16.5">
      <c r="B23" s="162"/>
      <c r="C23" s="162"/>
      <c r="D23" s="99"/>
    </row>
  </sheetData>
  <sheetProtection/>
  <mergeCells count="15">
    <mergeCell ref="C2:E2"/>
    <mergeCell ref="B22:C22"/>
    <mergeCell ref="B23:C23"/>
    <mergeCell ref="C21:E21"/>
    <mergeCell ref="C20:E20"/>
    <mergeCell ref="C15:E15"/>
    <mergeCell ref="C16:E16"/>
    <mergeCell ref="C14:E14"/>
    <mergeCell ref="A1:B1"/>
    <mergeCell ref="A2:B2"/>
    <mergeCell ref="A4:E4"/>
    <mergeCell ref="A5:E5"/>
    <mergeCell ref="C6:E6"/>
    <mergeCell ref="C13:D13"/>
    <mergeCell ref="C1:E1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DongNai Computer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DongNai Computer Center</dc:creator>
  <cp:keywords/>
  <dc:description/>
  <cp:lastModifiedBy>tuanpc</cp:lastModifiedBy>
  <cp:lastPrinted>2014-10-29T00:11:44Z</cp:lastPrinted>
  <dcterms:created xsi:type="dcterms:W3CDTF">2003-06-03T00:17:41Z</dcterms:created>
  <dcterms:modified xsi:type="dcterms:W3CDTF">2014-10-30T03:35:12Z</dcterms:modified>
  <cp:category/>
  <cp:version/>
  <cp:contentType/>
  <cp:contentStatus/>
</cp:coreProperties>
</file>